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pese_Ordinarie" sheetId="1" state="visible" r:id="rId1"/>
    <sheet xmlns:r="http://schemas.openxmlformats.org/officeDocument/2006/relationships" name="Condomini" sheetId="2" state="visible" r:id="rId2"/>
    <sheet xmlns:r="http://schemas.openxmlformats.org/officeDocument/2006/relationships" name="Riepilogo" sheetId="3" state="visible" r:id="rId3"/>
    <sheet xmlns:r="http://schemas.openxmlformats.org/officeDocument/2006/relationships" name="Istruzioni" sheetId="4" state="visible" r:id="rId4"/>
  </sheets>
  <definedNames/>
  <calcPr calcId="124519" fullCalcOnLoad="1"/>
</workbook>
</file>

<file path=xl/styles.xml><?xml version="1.0" encoding="utf-8"?>
<styleSheet xmlns="http://schemas.openxmlformats.org/spreadsheetml/2006/main">
  <numFmts count="2">
    <numFmt numFmtId="164" formatCode="#.##0,00&quot; €&quot;"/>
    <numFmt numFmtId="165" formatCode="0,00%"/>
  </numFmts>
  <fonts count="8">
    <font>
      <name val="Calibri"/>
      <family val="2"/>
      <color theme="1"/>
      <sz val="11"/>
      <scheme val="minor"/>
    </font>
    <font>
      <b val="1"/>
      <color rgb="00FFFFFF"/>
      <sz val="14"/>
    </font>
    <font>
      <i val="1"/>
      <color rgb="001E293B"/>
      <sz val="10"/>
    </font>
    <font>
      <b val="1"/>
      <color rgb="00FFFFFF"/>
      <sz val="11"/>
    </font>
    <font>
      <sz val="10"/>
    </font>
    <font>
      <b val="1"/>
      <sz val="10"/>
    </font>
    <font>
      <b val="1"/>
      <color rgb="00FFFFFF"/>
    </font>
    <font>
      <b val="1"/>
      <color rgb="00DC2626"/>
    </font>
  </fonts>
  <fills count="6">
    <fill>
      <patternFill/>
    </fill>
    <fill>
      <patternFill patternType="gray125"/>
    </fill>
    <fill>
      <patternFill patternType="solid">
        <fgColor rgb="001E293B"/>
        <bgColor rgb="001E293B"/>
      </patternFill>
    </fill>
    <fill>
      <patternFill patternType="solid">
        <fgColor rgb="00F8FAFC"/>
        <bgColor rgb="00F8FAFC"/>
      </patternFill>
    </fill>
    <fill>
      <patternFill patternType="solid">
        <fgColor rgb="00C8102E"/>
        <bgColor rgb="00C8102E"/>
      </patternFill>
    </fill>
    <fill>
      <patternFill patternType="solid">
        <fgColor rgb="00FFFBEB"/>
        <bgColor rgb="00FFFBEB"/>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27">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4" fillId="0" borderId="1" pivotButton="0" quotePrefix="0" xfId="0"/>
    <xf numFmtId="164" fontId="4" fillId="0" borderId="1" pivotButton="0" quotePrefix="0" xfId="0"/>
    <xf numFmtId="165" fontId="4" fillId="0" borderId="1" pivotButton="0" quotePrefix="0" xfId="0"/>
    <xf numFmtId="1" fontId="4" fillId="0" borderId="1" pivotButton="0" quotePrefix="0" xfId="0"/>
    <xf numFmtId="0" fontId="4" fillId="3" borderId="1" pivotButton="0" quotePrefix="0" xfId="0"/>
    <xf numFmtId="164" fontId="4" fillId="3" borderId="1" pivotButton="0" quotePrefix="0" xfId="0"/>
    <xf numFmtId="165" fontId="4" fillId="3" borderId="1" pivotButton="0" quotePrefix="0" xfId="0"/>
    <xf numFmtId="1" fontId="4" fillId="3" borderId="1" pivotButton="0" quotePrefix="0" xfId="0"/>
    <xf numFmtId="0" fontId="6" fillId="4" borderId="1" pivotButton="0" quotePrefix="0" xfId="0"/>
    <xf numFmtId="0" fontId="5" fillId="4" borderId="1" pivotButton="0" quotePrefix="0" xfId="0"/>
    <xf numFmtId="164" fontId="6" fillId="4" borderId="1" pivotButton="0" quotePrefix="0" xfId="0"/>
    <xf numFmtId="0" fontId="5" fillId="0" borderId="1" pivotButton="0" quotePrefix="0" xfId="0"/>
    <xf numFmtId="0" fontId="0" fillId="0" borderId="1" pivotButton="0" quotePrefix="0" xfId="0"/>
    <xf numFmtId="164" fontId="0" fillId="0" borderId="1" pivotButton="0" quotePrefix="0" xfId="0"/>
    <xf numFmtId="164" fontId="4" fillId="5" borderId="1" pivotButton="0" quotePrefix="0" xfId="0"/>
    <xf numFmtId="1" fontId="6" fillId="4" borderId="1" pivotButton="0" quotePrefix="0" xfId="0"/>
    <xf numFmtId="0" fontId="5" fillId="0" borderId="0" pivotButton="0" quotePrefix="0" xfId="0"/>
    <xf numFmtId="0" fontId="7" fillId="0" borderId="0" pivotButton="0" quotePrefix="0" xfId="0"/>
    <xf numFmtId="0" fontId="3" fillId="4" borderId="0" applyAlignment="1" pivotButton="0" quotePrefix="0" xfId="0">
      <alignment horizontal="center" vertical="center" wrapText="1"/>
    </xf>
    <xf numFmtId="164" fontId="0" fillId="3" borderId="1" pivotButton="0" quotePrefix="0" xfId="0"/>
    <xf numFmtId="1" fontId="0" fillId="3" borderId="1" pivotButton="0" quotePrefix="0" xfId="0"/>
    <xf numFmtId="0" fontId="6" fillId="4" borderId="1" applyAlignment="1" pivotButton="0" quotePrefix="0" xfId="0">
      <alignment horizontal="left" vertical="center" wrapText="1"/>
    </xf>
    <xf numFmtId="0" fontId="4" fillId="0" borderId="1" applyAlignment="1" pivotButton="0" quotePrefix="0" xfId="0">
      <alignment horizontal="left" vertical="center" wrapText="1"/>
    </xf>
  </cellXfs>
  <cellStyles count="1">
    <cellStyle name="Normal" xfId="0" builtinId="0" hidden="0"/>
  </cellStyles>
  <dxfs count="6">
    <dxf>
      <font>
        <b val="1"/>
        <color rgb="00DC2626"/>
      </font>
      <fill>
        <patternFill patternType="solid">
          <fgColor rgb="00FEE2E2"/>
          <bgColor rgb="00FEE2E2"/>
        </patternFill>
      </fill>
    </dxf>
    <dxf>
      <fill>
        <patternFill patternType="solid">
          <fgColor rgb="00FEF3C7"/>
          <bgColor rgb="00FEF3C7"/>
        </patternFill>
      </fill>
    </dxf>
    <dxf>
      <font>
        <b val="1"/>
        <color rgb="0016A34A"/>
      </font>
      <fill>
        <patternFill patternType="solid">
          <fgColor rgb="00DCFCE7"/>
          <bgColor rgb="00DCFCE7"/>
        </patternFill>
      </fill>
    </dxf>
    <dxf>
      <fill>
        <patternFill patternType="solid">
          <fgColor rgb="00DBEAFE"/>
          <bgColor rgb="00DBEAFE"/>
        </patternFill>
      </fill>
    </dxf>
    <dxf>
      <font>
        <b val="1"/>
        <color rgb="0016A34A"/>
      </font>
    </dxf>
    <dxf>
      <font>
        <b val="1"/>
        <color rgb="00DC2626"/>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Spese per Categoria (€)</a:t>
            </a:r>
          </a:p>
        </rich>
      </tx>
    </title>
    <plotArea>
      <barChart>
        <barDir val="col"/>
        <grouping val="clustered"/>
        <ser>
          <idx val="0"/>
          <order val="0"/>
          <tx>
            <strRef>
              <f>'Riepilogo'!B16</f>
            </strRef>
          </tx>
          <spPr>
            <a:solidFill xmlns:a="http://schemas.openxmlformats.org/drawingml/2006/main">
              <a:srgbClr val="0F766E"/>
            </a:solidFill>
            <a:ln xmlns:a="http://schemas.openxmlformats.org/drawingml/2006/main">
              <a:prstDash val="solid"/>
            </a:ln>
          </spPr>
          <cat>
            <numRef>
              <f>'Riepilogo'!$A$17:$A$26</f>
            </numRef>
          </cat>
          <val>
            <numRef>
              <f>'Riepilogo'!$B$17:$B$26</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Categoria</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Importo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Incidenza percentuale categorie</a:t>
            </a:r>
          </a:p>
        </rich>
      </tx>
    </title>
    <plotArea>
      <pieChart>
        <varyColors val="1"/>
        <ser>
          <idx val="0"/>
          <order val="0"/>
          <tx>
            <strRef>
              <f>'Riepilogo'!B16</f>
            </strRef>
          </tx>
          <spPr>
            <a:ln xmlns:a="http://schemas.openxmlformats.org/drawingml/2006/main">
              <a:prstDash val="solid"/>
            </a:ln>
          </spPr>
          <cat>
            <numRef>
              <f>'Riepilogo'!$A$17:$A$26</f>
            </numRef>
          </cat>
          <val>
            <numRef>
              <f>'Riepilogo'!$B$17:$B$26</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Andamento spese mensili</a:t>
            </a:r>
          </a:p>
        </rich>
      </tx>
    </title>
    <plotArea>
      <lineChart>
        <grouping val="standard"/>
        <ser>
          <idx val="0"/>
          <order val="0"/>
          <tx>
            <strRef>
              <f>'Riepilogo'!B30</f>
            </strRef>
          </tx>
          <spPr>
            <a:ln xmlns:a="http://schemas.openxmlformats.org/drawingml/2006/main" w="25000">
              <a:prstDash val="solid"/>
            </a:ln>
          </spPr>
          <marker>
            <symbol val="none"/>
            <spPr>
              <a:ln xmlns:a="http://schemas.openxmlformats.org/drawingml/2006/main">
                <a:prstDash val="solid"/>
              </a:ln>
            </spPr>
          </marker>
          <cat>
            <numRef>
              <f>'Riepilogo'!$A$31:$A$32</f>
            </numRef>
          </cat>
          <val>
            <numRef>
              <f>'Riepilogo'!$B$31:$B$32</f>
            </numRef>
          </val>
        </ser>
        <axId val="10"/>
        <axId val="100"/>
      </lineChart>
      <catAx>
        <axId val="10"/>
        <scaling>
          <orientation val="minMax"/>
        </scaling>
        <axPos val="l"/>
        <title>
          <tx>
            <rich>
              <a:bodyPr xmlns:a="http://schemas.openxmlformats.org/drawingml/2006/main"/>
              <a:p xmlns:a="http://schemas.openxmlformats.org/drawingml/2006/main">
                <a:pPr>
                  <a:defRPr/>
                </a:pPr>
                <a:r>
                  <a:t>Mese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Importo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4</col>
      <colOff>0</colOff>
      <row>3</row>
      <rowOff>0</rowOff>
    </from>
    <ext cx="648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21</row>
      <rowOff>0</rowOff>
    </from>
    <ext cx="540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13</col>
      <colOff>0</colOff>
      <row>3</row>
      <rowOff>0</rowOff>
    </from>
    <ext cx="5400000" cy="288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O16"/>
  <sheetViews>
    <sheetView workbookViewId="0">
      <pane ySplit="4" topLeftCell="A5" activePane="bottomLeft" state="frozen"/>
      <selection pane="bottomLeft" activeCell="A1" sqref="A1"/>
    </sheetView>
  </sheetViews>
  <sheetFormatPr baseColWidth="8" defaultRowHeight="15"/>
  <cols>
    <col width="9" customWidth="1" min="1" max="1"/>
    <col width="12" customWidth="1" min="2" max="2"/>
    <col width="24" customWidth="1" min="3" max="3"/>
    <col width="34" customWidth="1" min="4" max="4"/>
    <col width="26" customWidth="1" min="5" max="5"/>
    <col width="13" customWidth="1" min="6" max="6"/>
    <col width="12" customWidth="1" min="7" max="7"/>
    <col width="8" customWidth="1" min="8" max="8"/>
    <col width="13" customWidth="1" min="9" max="9"/>
    <col width="13" customWidth="1" min="10" max="10"/>
    <col width="16" customWidth="1" min="11" max="11"/>
    <col width="10" customWidth="1" min="12" max="12"/>
    <col width="13" customWidth="1" min="13" max="13"/>
    <col width="26" customWidth="1" min="14" max="14"/>
    <col width="12" customWidth="1" min="15" max="15"/>
  </cols>
  <sheetData>
    <row r="1" ht="26" customHeight="1">
      <c r="A1" s="1" t="inlineStr">
        <is>
          <t>RIPARTO SPESE ORDINARIE CONDOMINIO - ANNO 2026</t>
        </is>
      </c>
    </row>
    <row r="2">
      <c r="A2" s="2" t="inlineStr">
        <is>
          <t>Amministrazione: Immobiliare Verdi SRL - Condominio Via Roma 12, Milano</t>
        </is>
      </c>
    </row>
    <row r="3"/>
    <row r="4">
      <c r="A4" s="3" t="inlineStr">
        <is>
          <t>ID Spesa</t>
        </is>
      </c>
      <c r="B4" s="3" t="inlineStr">
        <is>
          <t>Data</t>
        </is>
      </c>
      <c r="C4" s="3" t="inlineStr">
        <is>
          <t>Categoria</t>
        </is>
      </c>
      <c r="D4" s="3" t="inlineStr">
        <is>
          <t>Descrizione</t>
        </is>
      </c>
      <c r="E4" s="3" t="inlineStr">
        <is>
          <t>Fornitore</t>
        </is>
      </c>
      <c r="F4" s="3" t="inlineStr">
        <is>
          <t>N. Fattura</t>
        </is>
      </c>
      <c r="G4" s="3" t="inlineStr">
        <is>
          <t>Imponibile</t>
        </is>
      </c>
      <c r="H4" s="3" t="inlineStr">
        <is>
          <t>IVA %</t>
        </is>
      </c>
      <c r="I4" s="3" t="inlineStr">
        <is>
          <t>Importo Lordo</t>
        </is>
      </c>
      <c r="J4" s="3" t="inlineStr">
        <is>
          <t>U.I. / Scala</t>
        </is>
      </c>
      <c r="K4" s="3" t="inlineStr">
        <is>
          <t>Beneficiario</t>
        </is>
      </c>
      <c r="L4" s="3" t="inlineStr">
        <is>
          <t>Millesimi</t>
        </is>
      </c>
      <c r="M4" s="3" t="inlineStr">
        <is>
          <t>Quota Riparto</t>
        </is>
      </c>
      <c r="N4" s="3" t="inlineStr">
        <is>
          <t>Note</t>
        </is>
      </c>
      <c r="O4" s="3" t="inlineStr">
        <is>
          <t>Controllo</t>
        </is>
      </c>
    </row>
    <row r="5">
      <c r="A5" s="4" t="n">
        <v>1</v>
      </c>
      <c r="B5" s="4" t="inlineStr">
        <is>
          <t>05/01/2026</t>
        </is>
      </c>
      <c r="C5" s="4" t="inlineStr">
        <is>
          <t>Pulizia scale</t>
        </is>
      </c>
      <c r="D5" s="4" t="inlineStr">
        <is>
          <t>Pulizia settimanale scale e ingresso</t>
        </is>
      </c>
      <c r="E5" s="4" t="inlineStr">
        <is>
          <t>Pulizie Milano Service SRL</t>
        </is>
      </c>
      <c r="F5" s="4" t="inlineStr">
        <is>
          <t>FT-2026-001</t>
        </is>
      </c>
      <c r="G5" s="5" t="n">
        <v>450</v>
      </c>
      <c r="H5" s="6" t="n">
        <v>0.22</v>
      </c>
      <c r="I5" s="5">
        <f>G5*(1+H5)</f>
        <v/>
      </c>
      <c r="J5" s="4" t="inlineStr">
        <is>
          <t>Scala A</t>
        </is>
      </c>
      <c r="K5" s="4" t="inlineStr">
        <is>
          <t>Tutti i condomini</t>
        </is>
      </c>
      <c r="L5" s="7" t="n">
        <v>1000</v>
      </c>
      <c r="M5" s="5">
        <f>I5*L5/1000</f>
        <v/>
      </c>
      <c r="N5" s="4" t="inlineStr">
        <is>
          <t>Contratto annuale pulizie</t>
        </is>
      </c>
      <c r="O5" s="4">
        <f>IF(M5&gt;0,"OK","Verificare")</f>
        <v/>
      </c>
    </row>
    <row r="6">
      <c r="A6" s="8" t="n">
        <v>2</v>
      </c>
      <c r="B6" s="8" t="inlineStr">
        <is>
          <t>10/01/2026</t>
        </is>
      </c>
      <c r="C6" s="8" t="inlineStr">
        <is>
          <t>Energia elettrica scale</t>
        </is>
      </c>
      <c r="D6" s="8" t="inlineStr">
        <is>
          <t>Fornitura energia elettrica aree comuni</t>
        </is>
      </c>
      <c r="E6" s="8" t="inlineStr">
        <is>
          <t>Enel Energia SPA</t>
        </is>
      </c>
      <c r="F6" s="8" t="inlineStr">
        <is>
          <t>FT-2026-014</t>
        </is>
      </c>
      <c r="G6" s="9" t="n">
        <v>320</v>
      </c>
      <c r="H6" s="10" t="n">
        <v>0.1</v>
      </c>
      <c r="I6" s="9">
        <f>G6*(1+H6)</f>
        <v/>
      </c>
      <c r="J6" s="8" t="inlineStr">
        <is>
          <t>Scala A</t>
        </is>
      </c>
      <c r="K6" s="8" t="inlineStr">
        <is>
          <t>Tutti i condomini</t>
        </is>
      </c>
      <c r="L6" s="11" t="n">
        <v>1000</v>
      </c>
      <c r="M6" s="9">
        <f>I6*L6/1000</f>
        <v/>
      </c>
      <c r="N6" s="8" t="inlineStr">
        <is>
          <t>Consumo bimestrale</t>
        </is>
      </c>
      <c r="O6" s="8">
        <f>IF(M6&gt;0,"OK","Verificare")</f>
        <v/>
      </c>
    </row>
    <row r="7">
      <c r="A7" s="4" t="n">
        <v>3</v>
      </c>
      <c r="B7" s="4" t="inlineStr">
        <is>
          <t>15/01/2026</t>
        </is>
      </c>
      <c r="C7" s="4" t="inlineStr">
        <is>
          <t>Manutenzione ascensore</t>
        </is>
      </c>
      <c r="D7" s="4" t="inlineStr">
        <is>
          <t>Contratto manutenzione ordinaria ascensore</t>
        </is>
      </c>
      <c r="E7" s="4" t="inlineStr">
        <is>
          <t>Ascensori Italia SRL</t>
        </is>
      </c>
      <c r="F7" s="4" t="inlineStr">
        <is>
          <t>FT-2026-022</t>
        </is>
      </c>
      <c r="G7" s="5" t="n">
        <v>280</v>
      </c>
      <c r="H7" s="6" t="n">
        <v>0.22</v>
      </c>
      <c r="I7" s="5">
        <f>G7*(1+H7)</f>
        <v/>
      </c>
      <c r="J7" s="4" t="inlineStr">
        <is>
          <t>Scala A</t>
        </is>
      </c>
      <c r="K7" s="4" t="inlineStr">
        <is>
          <t>Utenti ascensore</t>
        </is>
      </c>
      <c r="L7" s="7" t="n">
        <v>1000</v>
      </c>
      <c r="M7" s="5">
        <f>I7*L7/1000</f>
        <v/>
      </c>
      <c r="N7" s="4" t="inlineStr">
        <is>
          <t>Manutenzione trimestrale</t>
        </is>
      </c>
      <c r="O7" s="4">
        <f>IF(M7&gt;0,"OK","Verificare")</f>
        <v/>
      </c>
    </row>
    <row r="8">
      <c r="A8" s="8" t="n">
        <v>4</v>
      </c>
      <c r="B8" s="8" t="inlineStr">
        <is>
          <t>20/01/2026</t>
        </is>
      </c>
      <c r="C8" s="8" t="inlineStr">
        <is>
          <t>Giardinaggio</t>
        </is>
      </c>
      <c r="D8" s="8" t="inlineStr">
        <is>
          <t>Manutenzione area verde condominiale</t>
        </is>
      </c>
      <c r="E8" s="8" t="inlineStr">
        <is>
          <t>Verde&amp;Servizi SNC</t>
        </is>
      </c>
      <c r="F8" s="8" t="inlineStr">
        <is>
          <t>FT-2026-030</t>
        </is>
      </c>
      <c r="G8" s="9" t="n">
        <v>200</v>
      </c>
      <c r="H8" s="10" t="n">
        <v>0.22</v>
      </c>
      <c r="I8" s="9">
        <f>G8*(1+H8)</f>
        <v/>
      </c>
      <c r="J8" s="8" t="inlineStr">
        <is>
          <t>Scala A/B</t>
        </is>
      </c>
      <c r="K8" s="8" t="inlineStr">
        <is>
          <t>Tutti i condomini</t>
        </is>
      </c>
      <c r="L8" s="11" t="n">
        <v>1000</v>
      </c>
      <c r="M8" s="9">
        <f>I8*L8/1000</f>
        <v/>
      </c>
      <c r="N8" s="8" t="inlineStr">
        <is>
          <t>Taglio siepi e prato</t>
        </is>
      </c>
      <c r="O8" s="8">
        <f>IF(M8&gt;0,"OK","Verificare")</f>
        <v/>
      </c>
    </row>
    <row r="9">
      <c r="A9" s="4" t="n">
        <v>5</v>
      </c>
      <c r="B9" s="4" t="inlineStr">
        <is>
          <t>25/01/2026</t>
        </is>
      </c>
      <c r="C9" s="4" t="inlineStr">
        <is>
          <t>Assicurazione condominiale</t>
        </is>
      </c>
      <c r="D9" s="4" t="inlineStr">
        <is>
          <t>Premio polizza globale fabbricato</t>
        </is>
      </c>
      <c r="E9" s="4" t="inlineStr">
        <is>
          <t>Generali Italia SPA</t>
        </is>
      </c>
      <c r="F9" s="4" t="inlineStr">
        <is>
          <t>FT-2026-045</t>
        </is>
      </c>
      <c r="G9" s="5" t="n">
        <v>950</v>
      </c>
      <c r="H9" s="6" t="n">
        <v>0.22</v>
      </c>
      <c r="I9" s="5">
        <f>G9*(1+H9)</f>
        <v/>
      </c>
      <c r="J9" s="4" t="inlineStr">
        <is>
          <t>Scala A/B</t>
        </is>
      </c>
      <c r="K9" s="4" t="inlineStr">
        <is>
          <t>Tutti i condomini</t>
        </is>
      </c>
      <c r="L9" s="7" t="n">
        <v>1000</v>
      </c>
      <c r="M9" s="5">
        <f>I9*L9/1000</f>
        <v/>
      </c>
      <c r="N9" s="4" t="inlineStr">
        <is>
          <t>Polizza annuale</t>
        </is>
      </c>
      <c r="O9" s="4">
        <f>IF(M9&gt;0,"OK","Verificare")</f>
        <v/>
      </c>
    </row>
    <row r="10">
      <c r="A10" s="8" t="n">
        <v>6</v>
      </c>
      <c r="B10" s="8" t="inlineStr">
        <is>
          <t>01/02/2026</t>
        </is>
      </c>
      <c r="C10" s="8" t="inlineStr">
        <is>
          <t>Spurgo pozzetti</t>
        </is>
      </c>
      <c r="D10" s="8" t="inlineStr">
        <is>
          <t>Spurgo e pulizia pozzetti fognari</t>
        </is>
      </c>
      <c r="E10" s="8" t="inlineStr">
        <is>
          <t>Spurghi Lombardia SRL</t>
        </is>
      </c>
      <c r="F10" s="8" t="inlineStr">
        <is>
          <t>FT-2026-051</t>
        </is>
      </c>
      <c r="G10" s="9" t="n">
        <v>380</v>
      </c>
      <c r="H10" s="10" t="n">
        <v>0.22</v>
      </c>
      <c r="I10" s="9">
        <f>G10*(1+H10)</f>
        <v/>
      </c>
      <c r="J10" s="8" t="inlineStr">
        <is>
          <t>Scala A</t>
        </is>
      </c>
      <c r="K10" s="8" t="inlineStr">
        <is>
          <t>Tutti i condomini</t>
        </is>
      </c>
      <c r="L10" s="11" t="n">
        <v>1000</v>
      </c>
      <c r="M10" s="9">
        <f>I10*L10/1000</f>
        <v/>
      </c>
      <c r="N10" s="8" t="inlineStr">
        <is>
          <t>Intervento ordinario</t>
        </is>
      </c>
      <c r="O10" s="8">
        <f>IF(M10&gt;0,"OK","Verificare")</f>
        <v/>
      </c>
    </row>
    <row r="11">
      <c r="A11" s="4" t="n">
        <v>7</v>
      </c>
      <c r="B11" s="4" t="inlineStr">
        <is>
          <t>08/02/2026</t>
        </is>
      </c>
      <c r="C11" s="4" t="inlineStr">
        <is>
          <t>Riparazioni idrauliche</t>
        </is>
      </c>
      <c r="D11" s="4" t="inlineStr">
        <is>
          <t>Sostituzione guarnizioni tubazioni comuni</t>
        </is>
      </c>
      <c r="E11" s="4" t="inlineStr">
        <is>
          <t>Idraulica Ferrari SRL</t>
        </is>
      </c>
      <c r="F11" s="4" t="inlineStr">
        <is>
          <t>FT-2026-060</t>
        </is>
      </c>
      <c r="G11" s="5" t="n">
        <v>150</v>
      </c>
      <c r="H11" s="6" t="n">
        <v>0.22</v>
      </c>
      <c r="I11" s="5">
        <f>G11*(1+H11)</f>
        <v/>
      </c>
      <c r="J11" s="4" t="inlineStr">
        <is>
          <t>Scala A</t>
        </is>
      </c>
      <c r="K11" s="4" t="inlineStr">
        <is>
          <t>Tutti i condomini</t>
        </is>
      </c>
      <c r="L11" s="7" t="n">
        <v>1000</v>
      </c>
      <c r="M11" s="5">
        <f>I11*L11/1000</f>
        <v/>
      </c>
      <c r="N11" s="4" t="inlineStr">
        <is>
          <t>Piccola manutenzione</t>
        </is>
      </c>
      <c r="O11" s="4">
        <f>IF(M11&gt;0,"OK","Verificare")</f>
        <v/>
      </c>
    </row>
    <row r="12">
      <c r="A12" s="8" t="n">
        <v>8</v>
      </c>
      <c r="B12" s="8" t="inlineStr">
        <is>
          <t>14/02/2026</t>
        </is>
      </c>
      <c r="C12" s="8" t="inlineStr">
        <is>
          <t>Manutenzione portone</t>
        </is>
      </c>
      <c r="D12" s="8" t="inlineStr">
        <is>
          <t>Revisione motore portone automatico</t>
        </is>
      </c>
      <c r="E12" s="8" t="inlineStr">
        <is>
          <t>Sicur Porte SRL</t>
        </is>
      </c>
      <c r="F12" s="8" t="inlineStr">
        <is>
          <t>FT-2026-067</t>
        </is>
      </c>
      <c r="G12" s="9" t="n">
        <v>210</v>
      </c>
      <c r="H12" s="10" t="n">
        <v>0.22</v>
      </c>
      <c r="I12" s="9">
        <f>G12*(1+H12)</f>
        <v/>
      </c>
      <c r="J12" s="8" t="inlineStr">
        <is>
          <t>Scala A</t>
        </is>
      </c>
      <c r="K12" s="8" t="inlineStr">
        <is>
          <t>Tutti i condomini</t>
        </is>
      </c>
      <c r="L12" s="11" t="n">
        <v>1000</v>
      </c>
      <c r="M12" s="9">
        <f>I12*L12/1000</f>
        <v/>
      </c>
      <c r="N12" s="8" t="inlineStr">
        <is>
          <t>Verifica sicurezza</t>
        </is>
      </c>
      <c r="O12" s="8">
        <f>IF(M12&gt;0,"OK","Verificare")</f>
        <v/>
      </c>
    </row>
    <row r="13">
      <c r="A13" s="4" t="n">
        <v>9</v>
      </c>
      <c r="B13" s="4" t="inlineStr">
        <is>
          <t>20/02/2026</t>
        </is>
      </c>
      <c r="C13" s="4" t="inlineStr">
        <is>
          <t>Revisione caldaia centralizzata</t>
        </is>
      </c>
      <c r="D13" s="4" t="inlineStr">
        <is>
          <t>Manutenzione ordinaria caldaia centrale</t>
        </is>
      </c>
      <c r="E13" s="4" t="inlineStr">
        <is>
          <t>Termotecnica Conti SRL</t>
        </is>
      </c>
      <c r="F13" s="4" t="inlineStr">
        <is>
          <t>FT-2026-075</t>
        </is>
      </c>
      <c r="G13" s="5" t="n">
        <v>620</v>
      </c>
      <c r="H13" s="6" t="n">
        <v>0.22</v>
      </c>
      <c r="I13" s="5">
        <f>G13*(1+H13)</f>
        <v/>
      </c>
      <c r="J13" s="4" t="inlineStr">
        <is>
          <t>Scala A/B</t>
        </is>
      </c>
      <c r="K13" s="4" t="inlineStr">
        <is>
          <t>Tutti i condomini</t>
        </is>
      </c>
      <c r="L13" s="7" t="n">
        <v>1000</v>
      </c>
      <c r="M13" s="5">
        <f>I13*L13/1000</f>
        <v/>
      </c>
      <c r="N13" s="4" t="inlineStr">
        <is>
          <t>Revisione annuale obbligatoria</t>
        </is>
      </c>
      <c r="O13" s="4">
        <f>IF(M13&gt;0,"OK","Verificare")</f>
        <v/>
      </c>
    </row>
    <row r="14">
      <c r="A14" s="8" t="n">
        <v>10</v>
      </c>
      <c r="B14" s="8" t="inlineStr">
        <is>
          <t>26/02/2026</t>
        </is>
      </c>
      <c r="C14" s="8" t="inlineStr">
        <is>
          <t>Derattizzazione</t>
        </is>
      </c>
      <c r="D14" s="8" t="inlineStr">
        <is>
          <t>Intervento derattizzazione aree comuni</t>
        </is>
      </c>
      <c r="E14" s="8" t="inlineStr">
        <is>
          <t>Verde&amp;Servizi SNC</t>
        </is>
      </c>
      <c r="F14" s="8" t="inlineStr">
        <is>
          <t>FT-2026-082</t>
        </is>
      </c>
      <c r="G14" s="9" t="n">
        <v>180</v>
      </c>
      <c r="H14" s="10" t="n">
        <v>0.22</v>
      </c>
      <c r="I14" s="9">
        <f>G14*(1+H14)</f>
        <v/>
      </c>
      <c r="J14" s="8" t="inlineStr">
        <is>
          <t>Scala A/B</t>
        </is>
      </c>
      <c r="K14" s="8" t="inlineStr">
        <is>
          <t>Tutti i condomini</t>
        </is>
      </c>
      <c r="L14" s="11" t="n">
        <v>1000</v>
      </c>
      <c r="M14" s="9">
        <f>I14*L14/1000</f>
        <v/>
      </c>
      <c r="N14" s="8" t="inlineStr">
        <is>
          <t>Intervento semestrale</t>
        </is>
      </c>
      <c r="O14" s="8">
        <f>IF(M14&gt;0,"OK","Verificare")</f>
        <v/>
      </c>
    </row>
    <row r="15">
      <c r="A15" s="12" t="inlineStr">
        <is>
          <t>TOTALE</t>
        </is>
      </c>
      <c r="B15" s="13" t="n"/>
      <c r="C15" s="13" t="n"/>
      <c r="D15" s="13" t="n"/>
      <c r="E15" s="13" t="n"/>
      <c r="F15" s="13" t="n"/>
      <c r="G15" s="14">
        <f>SUM(G5:G14)</f>
        <v/>
      </c>
      <c r="H15" s="13" t="n"/>
      <c r="I15" s="14">
        <f>SUM(I5:I14)</f>
        <v/>
      </c>
      <c r="J15" s="13" t="n"/>
      <c r="K15" s="13" t="n"/>
      <c r="L15" s="13" t="n"/>
      <c r="M15" s="14">
        <f>SUM(M5:M14)</f>
        <v/>
      </c>
      <c r="N15" s="13" t="n"/>
      <c r="O15" s="13" t="n"/>
    </row>
    <row r="16">
      <c r="A16" s="15" t="inlineStr">
        <is>
          <t>MEDIA</t>
        </is>
      </c>
      <c r="B16" s="16" t="n"/>
      <c r="C16" s="16" t="n"/>
      <c r="D16" s="16" t="n"/>
      <c r="E16" s="16" t="n"/>
      <c r="F16" s="16" t="n"/>
      <c r="G16" s="17">
        <f>AVERAGE(G5:G14)</f>
        <v/>
      </c>
      <c r="H16" s="16" t="n"/>
      <c r="I16" s="17">
        <f>AVERAGE(I5:I14)</f>
        <v/>
      </c>
      <c r="J16" s="16" t="n"/>
      <c r="K16" s="16" t="n"/>
      <c r="L16" s="16" t="n"/>
      <c r="M16" s="17">
        <f>AVERAGE(M5:M14)</f>
        <v/>
      </c>
      <c r="N16" s="16" t="n"/>
      <c r="O16" s="16" t="n"/>
    </row>
  </sheetData>
  <mergeCells count="2">
    <mergeCell ref="A1:O1"/>
    <mergeCell ref="A2:O2"/>
  </mergeCells>
  <conditionalFormatting sqref="O5:O14">
    <cfRule type="expression" priority="1" dxfId="0" stopIfTrue="1">
      <formula>$O5="Verificare"</formula>
    </cfRule>
  </conditionalFormatting>
  <conditionalFormatting sqref="M5:M14">
    <cfRule type="expression" priority="2" dxfId="1" stopIfTrue="0">
      <formula>M5&gt;500</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N17"/>
  <sheetViews>
    <sheetView workbookViewId="0">
      <pane ySplit="3" topLeftCell="A4" activePane="bottomLeft" state="frozen"/>
      <selection pane="bottomLeft" activeCell="A1" sqref="A1"/>
    </sheetView>
  </sheetViews>
  <sheetFormatPr baseColWidth="8" defaultRowHeight="15"/>
  <cols>
    <col width="9" customWidth="1" min="1" max="1"/>
    <col width="9" customWidth="1" min="2" max="2"/>
    <col width="20" customWidth="1" min="3" max="3"/>
    <col width="20" customWidth="1" min="4" max="4"/>
    <col width="26" customWidth="1" min="5" max="5"/>
    <col width="8" customWidth="1" min="6" max="6"/>
    <col width="8" customWidth="1" min="7" max="7"/>
    <col width="15" customWidth="1" min="8" max="8"/>
    <col width="18" customWidth="1" min="9" max="9"/>
    <col width="15" customWidth="1" min="10" max="10"/>
    <col width="15" customWidth="1" min="11" max="11"/>
    <col width="13" customWidth="1" min="12" max="12"/>
    <col width="12" customWidth="1" min="13" max="13"/>
    <col width="13" customWidth="1" min="14" max="14"/>
  </cols>
  <sheetData>
    <row r="1" ht="26" customHeight="1">
      <c r="A1" s="1" t="inlineStr">
        <is>
          <t>ANAGRAFICA CONDOMINI E QUOTE MILLESIMALI</t>
        </is>
      </c>
    </row>
    <row r="2"/>
    <row r="3">
      <c r="A3" s="3" t="inlineStr">
        <is>
          <t>ID Unità</t>
        </is>
      </c>
      <c r="B3" s="3" t="inlineStr">
        <is>
          <t>Interno</t>
        </is>
      </c>
      <c r="C3" s="3" t="inlineStr">
        <is>
          <t>Proprietario</t>
        </is>
      </c>
      <c r="D3" s="3" t="inlineStr">
        <is>
          <t>Codice Fiscale</t>
        </is>
      </c>
      <c r="E3" s="3" t="inlineStr">
        <is>
          <t>Indirizzo</t>
        </is>
      </c>
      <c r="F3" s="3" t="inlineStr">
        <is>
          <t>Scala</t>
        </is>
      </c>
      <c r="G3" s="3" t="inlineStr">
        <is>
          <t>Piano</t>
        </is>
      </c>
      <c r="H3" s="3" t="inlineStr">
        <is>
          <t>Millesimi Generali</t>
        </is>
      </c>
      <c r="I3" s="3" t="inlineStr">
        <is>
          <t>Millesimi Riscaldamento</t>
        </is>
      </c>
      <c r="J3" s="3" t="inlineStr">
        <is>
          <t>Millesimi Ascensore</t>
        </is>
      </c>
      <c r="K3" s="3" t="inlineStr">
        <is>
          <t>Quota Totale Spese</t>
        </is>
      </c>
      <c r="L3" s="3" t="inlineStr">
        <is>
          <t>Pagato</t>
        </is>
      </c>
      <c r="M3" s="3" t="inlineStr">
        <is>
          <t>Saldo</t>
        </is>
      </c>
      <c r="N3" s="3" t="inlineStr">
        <is>
          <t>Stato</t>
        </is>
      </c>
    </row>
    <row r="4">
      <c r="A4" s="4" t="inlineStr">
        <is>
          <t>U01</t>
        </is>
      </c>
      <c r="B4" s="4" t="inlineStr">
        <is>
          <t>Int. 1</t>
        </is>
      </c>
      <c r="C4" s="4" t="inlineStr">
        <is>
          <t>Marco Rossi</t>
        </is>
      </c>
      <c r="D4" s="4" t="inlineStr">
        <is>
          <t>RSSMRC80A01F205X</t>
        </is>
      </c>
      <c r="E4" s="4" t="inlineStr">
        <is>
          <t>Via Roma 12, Milano</t>
        </is>
      </c>
      <c r="F4" s="4" t="inlineStr">
        <is>
          <t>A</t>
        </is>
      </c>
      <c r="G4" s="4" t="n">
        <v>0</v>
      </c>
      <c r="H4" s="7" t="n">
        <v>120</v>
      </c>
      <c r="I4" s="7" t="n">
        <v>125</v>
      </c>
      <c r="J4" s="7" t="n">
        <v>0</v>
      </c>
      <c r="K4" s="5">
        <f>ROUND(Spese_Ordinarie!$I$15*H4/$H$14,2)</f>
        <v/>
      </c>
      <c r="L4" s="18" t="n">
        <v>542.9299999999999</v>
      </c>
      <c r="M4" s="5">
        <f>K4-L4</f>
        <v/>
      </c>
      <c r="N4" s="4">
        <f>IF(M4=0,"Regolare",IF(M4&gt;0,"Da saldare","Credito"))</f>
        <v/>
      </c>
    </row>
    <row r="5">
      <c r="A5" s="8" t="inlineStr">
        <is>
          <t>U02</t>
        </is>
      </c>
      <c r="B5" s="8" t="inlineStr">
        <is>
          <t>Int. 2</t>
        </is>
      </c>
      <c r="C5" s="8" t="inlineStr">
        <is>
          <t>Giulia Bianchi</t>
        </is>
      </c>
      <c r="D5" s="8" t="inlineStr">
        <is>
          <t>BNCGLI82B02F205Y</t>
        </is>
      </c>
      <c r="E5" s="8" t="inlineStr">
        <is>
          <t>Via Roma 12, Milano</t>
        </is>
      </c>
      <c r="F5" s="8" t="inlineStr">
        <is>
          <t>A</t>
        </is>
      </c>
      <c r="G5" s="8" t="n">
        <v>1</v>
      </c>
      <c r="H5" s="11" t="n">
        <v>110</v>
      </c>
      <c r="I5" s="11" t="n">
        <v>105</v>
      </c>
      <c r="J5" s="11" t="n">
        <v>110</v>
      </c>
      <c r="K5" s="9">
        <f>ROUND(Spese_Ordinarie!$I$15*H5/$H$14,2)</f>
        <v/>
      </c>
      <c r="L5" s="9" t="n">
        <v>497.68</v>
      </c>
      <c r="M5" s="9">
        <f>K5-L5</f>
        <v/>
      </c>
      <c r="N5" s="8">
        <f>IF(M5=0,"Regolare",IF(M5&gt;0,"Da saldare","Credito"))</f>
        <v/>
      </c>
    </row>
    <row r="6">
      <c r="A6" s="4" t="inlineStr">
        <is>
          <t>U03</t>
        </is>
      </c>
      <c r="B6" s="4" t="inlineStr">
        <is>
          <t>Int. 3</t>
        </is>
      </c>
      <c r="C6" s="4" t="inlineStr">
        <is>
          <t>Luca Ferrari</t>
        </is>
      </c>
      <c r="D6" s="4" t="inlineStr">
        <is>
          <t>FRRLCU79C03F205Z</t>
        </is>
      </c>
      <c r="E6" s="4" t="inlineStr">
        <is>
          <t>Via Garibaldi 8, Torino</t>
        </is>
      </c>
      <c r="F6" s="4" t="inlineStr">
        <is>
          <t>A</t>
        </is>
      </c>
      <c r="G6" s="4" t="n">
        <v>1</v>
      </c>
      <c r="H6" s="7" t="n">
        <v>95</v>
      </c>
      <c r="I6" s="7" t="n">
        <v>90</v>
      </c>
      <c r="J6" s="7" t="n">
        <v>95</v>
      </c>
      <c r="K6" s="5">
        <f>ROUND(Spese_Ordinarie!$I$15*H6/$H$14,2)</f>
        <v/>
      </c>
      <c r="L6" s="18" t="n">
        <v>300</v>
      </c>
      <c r="M6" s="5">
        <f>K6-L6</f>
        <v/>
      </c>
      <c r="N6" s="4">
        <f>IF(M6=0,"Regolare",IF(M6&gt;0,"Da saldare","Credito"))</f>
        <v/>
      </c>
    </row>
    <row r="7">
      <c r="A7" s="8" t="inlineStr">
        <is>
          <t>U04</t>
        </is>
      </c>
      <c r="B7" s="8" t="inlineStr">
        <is>
          <t>Int. 4</t>
        </is>
      </c>
      <c r="C7" s="8" t="inlineStr">
        <is>
          <t>Anna Esposito</t>
        </is>
      </c>
      <c r="D7" s="8" t="inlineStr">
        <is>
          <t>SPSNNA85D04F205W</t>
        </is>
      </c>
      <c r="E7" s="8" t="inlineStr">
        <is>
          <t>Corso Italia 45, Roma</t>
        </is>
      </c>
      <c r="F7" s="8" t="inlineStr">
        <is>
          <t>B</t>
        </is>
      </c>
      <c r="G7" s="8" t="n">
        <v>2</v>
      </c>
      <c r="H7" s="11" t="n">
        <v>105</v>
      </c>
      <c r="I7" s="11" t="n">
        <v>110</v>
      </c>
      <c r="J7" s="11" t="n">
        <v>105</v>
      </c>
      <c r="K7" s="9">
        <f>ROUND(Spese_Ordinarie!$I$15*H7/$H$14,2)</f>
        <v/>
      </c>
      <c r="L7" s="9" t="n">
        <v>475.06</v>
      </c>
      <c r="M7" s="9">
        <f>K7-L7</f>
        <v/>
      </c>
      <c r="N7" s="8">
        <f>IF(M7=0,"Regolare",IF(M7&gt;0,"Da saldare","Credito"))</f>
        <v/>
      </c>
    </row>
    <row r="8">
      <c r="A8" s="4" t="inlineStr">
        <is>
          <t>U05</t>
        </is>
      </c>
      <c r="B8" s="4" t="inlineStr">
        <is>
          <t>Int. 5</t>
        </is>
      </c>
      <c r="C8" s="4" t="inlineStr">
        <is>
          <t>Francesca Romano</t>
        </is>
      </c>
      <c r="D8" s="4" t="inlineStr">
        <is>
          <t>RMNFRN88E05F205K</t>
        </is>
      </c>
      <c r="E8" s="4" t="inlineStr">
        <is>
          <t>Viale Mazzini 22, Bologna</t>
        </is>
      </c>
      <c r="F8" s="4" t="inlineStr">
        <is>
          <t>B</t>
        </is>
      </c>
      <c r="G8" s="4" t="n">
        <v>2</v>
      </c>
      <c r="H8" s="7" t="n">
        <v>90</v>
      </c>
      <c r="I8" s="7" t="n">
        <v>95</v>
      </c>
      <c r="J8" s="7" t="n">
        <v>90</v>
      </c>
      <c r="K8" s="5">
        <f>ROUND(Spese_Ordinarie!$I$15*H8/$H$14,2)</f>
        <v/>
      </c>
      <c r="L8" s="18" t="n">
        <v>0</v>
      </c>
      <c r="M8" s="5">
        <f>K8-L8</f>
        <v/>
      </c>
      <c r="N8" s="4">
        <f>IF(M8=0,"Regolare",IF(M8&gt;0,"Da saldare","Credito"))</f>
        <v/>
      </c>
    </row>
    <row r="9">
      <c r="A9" s="8" t="inlineStr">
        <is>
          <t>U06</t>
        </is>
      </c>
      <c r="B9" s="8" t="inlineStr">
        <is>
          <t>Int. 6</t>
        </is>
      </c>
      <c r="C9" s="8" t="inlineStr">
        <is>
          <t>Giuseppe Conti</t>
        </is>
      </c>
      <c r="D9" s="8" t="inlineStr">
        <is>
          <t>CNTGPP75F06F205J</t>
        </is>
      </c>
      <c r="E9" s="8" t="inlineStr">
        <is>
          <t>Via Roma 12, Milano</t>
        </is>
      </c>
      <c r="F9" s="8" t="inlineStr">
        <is>
          <t>A</t>
        </is>
      </c>
      <c r="G9" s="8" t="n">
        <v>3</v>
      </c>
      <c r="H9" s="11" t="n">
        <v>100</v>
      </c>
      <c r="I9" s="11" t="n">
        <v>95</v>
      </c>
      <c r="J9" s="11" t="n">
        <v>100</v>
      </c>
      <c r="K9" s="9">
        <f>ROUND(Spese_Ordinarie!$I$15*H9/$H$14,2)</f>
        <v/>
      </c>
      <c r="L9" s="9" t="n">
        <v>452.44</v>
      </c>
      <c r="M9" s="9">
        <f>K9-L9</f>
        <v/>
      </c>
      <c r="N9" s="8">
        <f>IF(M9=0,"Regolare",IF(M9&gt;0,"Da saldare","Credito"))</f>
        <v/>
      </c>
    </row>
    <row r="10">
      <c r="A10" s="4" t="inlineStr">
        <is>
          <t>U07</t>
        </is>
      </c>
      <c r="B10" s="4" t="inlineStr">
        <is>
          <t>Int. 7</t>
        </is>
      </c>
      <c r="C10" s="4" t="inlineStr">
        <is>
          <t>Elena Moretti</t>
        </is>
      </c>
      <c r="D10" s="4" t="inlineStr">
        <is>
          <t>MRTLNE90G07F205H</t>
        </is>
      </c>
      <c r="E10" s="4" t="inlineStr">
        <is>
          <t>Via Garibaldi 8, Torino</t>
        </is>
      </c>
      <c r="F10" s="4" t="inlineStr">
        <is>
          <t>A</t>
        </is>
      </c>
      <c r="G10" s="4" t="n">
        <v>3</v>
      </c>
      <c r="H10" s="7" t="n">
        <v>85</v>
      </c>
      <c r="I10" s="7" t="n">
        <v>80</v>
      </c>
      <c r="J10" s="7" t="n">
        <v>85</v>
      </c>
      <c r="K10" s="5">
        <f>ROUND(Spese_Ordinarie!$I$15*H10/$H$14,2)</f>
        <v/>
      </c>
      <c r="L10" s="18" t="n">
        <v>400</v>
      </c>
      <c r="M10" s="5">
        <f>K10-L10</f>
        <v/>
      </c>
      <c r="N10" s="4">
        <f>IF(M10=0,"Regolare",IF(M10&gt;0,"Da saldare","Credito"))</f>
        <v/>
      </c>
    </row>
    <row r="11">
      <c r="A11" s="8" t="inlineStr">
        <is>
          <t>U08</t>
        </is>
      </c>
      <c r="B11" s="8" t="inlineStr">
        <is>
          <t>Int. 8</t>
        </is>
      </c>
      <c r="C11" s="8" t="inlineStr">
        <is>
          <t>Davide Colombo</t>
        </is>
      </c>
      <c r="D11" s="8" t="inlineStr">
        <is>
          <t>CLMDVD83H08F205G</t>
        </is>
      </c>
      <c r="E11" s="8" t="inlineStr">
        <is>
          <t>Corso Italia 45, Roma</t>
        </is>
      </c>
      <c r="F11" s="8" t="inlineStr">
        <is>
          <t>B</t>
        </is>
      </c>
      <c r="G11" s="8" t="n">
        <v>4</v>
      </c>
      <c r="H11" s="11" t="n">
        <v>115</v>
      </c>
      <c r="I11" s="11" t="n">
        <v>120</v>
      </c>
      <c r="J11" s="11" t="n">
        <v>115</v>
      </c>
      <c r="K11" s="9">
        <f>ROUND(Spese_Ordinarie!$I$15*H11/$H$14,2)</f>
        <v/>
      </c>
      <c r="L11" s="9" t="n">
        <v>520.3099999999999</v>
      </c>
      <c r="M11" s="9">
        <f>K11-L11</f>
        <v/>
      </c>
      <c r="N11" s="8">
        <f>IF(M11=0,"Regolare",IF(M11&gt;0,"Da saldare","Credito"))</f>
        <v/>
      </c>
    </row>
    <row r="12">
      <c r="A12" s="4" t="inlineStr">
        <is>
          <t>U09</t>
        </is>
      </c>
      <c r="B12" s="4" t="inlineStr">
        <is>
          <t>Int. 9</t>
        </is>
      </c>
      <c r="C12" s="4" t="inlineStr">
        <is>
          <t>Silvia Greco</t>
        </is>
      </c>
      <c r="D12" s="4" t="inlineStr">
        <is>
          <t>GRCSLV91I09F205F</t>
        </is>
      </c>
      <c r="E12" s="4" t="inlineStr">
        <is>
          <t>Viale Mazzini 22, Bologna</t>
        </is>
      </c>
      <c r="F12" s="4" t="inlineStr">
        <is>
          <t>B</t>
        </is>
      </c>
      <c r="G12" s="4" t="n">
        <v>4</v>
      </c>
      <c r="H12" s="7" t="n">
        <v>80</v>
      </c>
      <c r="I12" s="7" t="n">
        <v>85</v>
      </c>
      <c r="J12" s="7" t="n">
        <v>80</v>
      </c>
      <c r="K12" s="5">
        <f>ROUND(Spese_Ordinarie!$I$15*H12/$H$14,2)</f>
        <v/>
      </c>
      <c r="L12" s="18" t="n">
        <v>200</v>
      </c>
      <c r="M12" s="5">
        <f>K12-L12</f>
        <v/>
      </c>
      <c r="N12" s="4">
        <f>IF(M12=0,"Regolare",IF(M12&gt;0,"Da saldare","Credito"))</f>
        <v/>
      </c>
    </row>
    <row r="13">
      <c r="A13" s="8" t="inlineStr">
        <is>
          <t>U10</t>
        </is>
      </c>
      <c r="B13" s="8" t="inlineStr">
        <is>
          <t>Int. 10</t>
        </is>
      </c>
      <c r="C13" s="8" t="inlineStr">
        <is>
          <t>Paolo Ricci</t>
        </is>
      </c>
      <c r="D13" s="8" t="inlineStr">
        <is>
          <t>RCCPLA77L10F205E</t>
        </is>
      </c>
      <c r="E13" s="8" t="inlineStr">
        <is>
          <t>Via Roma 12, Milano</t>
        </is>
      </c>
      <c r="F13" s="8" t="inlineStr">
        <is>
          <t>A</t>
        </is>
      </c>
      <c r="G13" s="8" t="n">
        <v>5</v>
      </c>
      <c r="H13" s="11" t="n">
        <v>100</v>
      </c>
      <c r="I13" s="11" t="n">
        <v>95</v>
      </c>
      <c r="J13" s="11" t="n">
        <v>100</v>
      </c>
      <c r="K13" s="9">
        <f>ROUND(Spese_Ordinarie!$I$15*H13/$H$14,2)</f>
        <v/>
      </c>
      <c r="L13" s="9" t="n">
        <v>452.44</v>
      </c>
      <c r="M13" s="9">
        <f>K13-L13</f>
        <v/>
      </c>
      <c r="N13" s="8">
        <f>IF(M13=0,"Regolare",IF(M13&gt;0,"Da saldare","Credito"))</f>
        <v/>
      </c>
    </row>
    <row r="14">
      <c r="A14" s="12" t="inlineStr">
        <is>
          <t>TOTALE</t>
        </is>
      </c>
      <c r="B14" s="12" t="n"/>
      <c r="C14" s="12" t="n"/>
      <c r="D14" s="12" t="n"/>
      <c r="E14" s="12" t="n"/>
      <c r="F14" s="12" t="n"/>
      <c r="G14" s="12" t="n"/>
      <c r="H14" s="19">
        <f>SUM(H4:H13)</f>
        <v/>
      </c>
      <c r="I14" s="19">
        <f>SUM(I4:I13)</f>
        <v/>
      </c>
      <c r="J14" s="19">
        <f>SUM(J4:J13)</f>
        <v/>
      </c>
      <c r="K14" s="14">
        <f>SUM(K4:K13)</f>
        <v/>
      </c>
      <c r="L14" s="14">
        <f>SUM(L4:L13)</f>
        <v/>
      </c>
      <c r="M14" s="14">
        <f>SUM(M4:M13)</f>
        <v/>
      </c>
      <c r="N14" s="12" t="n"/>
    </row>
    <row r="15">
      <c r="A15" s="15" t="inlineStr">
        <is>
          <t>MEDIA</t>
        </is>
      </c>
      <c r="B15" s="16" t="n"/>
      <c r="C15" s="16" t="n"/>
      <c r="D15" s="16" t="n"/>
      <c r="E15" s="16" t="n"/>
      <c r="F15" s="16" t="n"/>
      <c r="G15" s="16" t="n"/>
      <c r="H15" s="16" t="n"/>
      <c r="I15" s="16" t="n"/>
      <c r="J15" s="16" t="n"/>
      <c r="K15" s="17">
        <f>AVERAGE(K4:K13)</f>
        <v/>
      </c>
      <c r="L15" s="17">
        <f>AVERAGE(L4:L13)</f>
        <v/>
      </c>
      <c r="M15" s="17">
        <f>AVERAGE(M4:M13)</f>
        <v/>
      </c>
      <c r="N15" s="16" t="n"/>
    </row>
    <row r="16"/>
    <row r="17">
      <c r="A17" s="20" t="inlineStr">
        <is>
          <t>Condomini in ritardo (Da saldare):</t>
        </is>
      </c>
      <c r="E17" s="21">
        <f>COUNTIF(N4:N13,"Da saldare")</f>
        <v/>
      </c>
    </row>
  </sheetData>
  <mergeCells count="1">
    <mergeCell ref="A1:N1"/>
  </mergeCells>
  <conditionalFormatting sqref="N4:N13">
    <cfRule type="expression" priority="1" dxfId="0" stopIfTrue="1">
      <formula>$N4="Da saldare"</formula>
    </cfRule>
    <cfRule type="expression" priority="2" dxfId="2" stopIfTrue="1">
      <formula>$N4="Regolare"</formula>
    </cfRule>
    <cfRule type="expression" priority="3" dxfId="3" stopIfTrue="1">
      <formula>$N4="Credito"</formula>
    </cfRule>
  </conditionalFormatting>
  <conditionalFormatting sqref="M4:M13">
    <cfRule type="expression" priority="4" dxfId="4">
      <formula>M4&lt;0</formula>
    </cfRule>
    <cfRule type="expression" priority="5" dxfId="5">
      <formula>M4&gt;0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32"/>
  <sheetViews>
    <sheetView workbookViewId="0">
      <selection activeCell="A1" sqref="A1"/>
    </sheetView>
  </sheetViews>
  <sheetFormatPr baseColWidth="8" defaultRowHeight="15"/>
  <cols>
    <col width="30" customWidth="1" min="1" max="1"/>
    <col width="16" customWidth="1" min="2" max="2"/>
    <col width="15" customWidth="1" min="3" max="3"/>
    <col width="12" customWidth="1" min="4" max="4"/>
    <col width="12" customWidth="1" min="5" max="5"/>
  </cols>
  <sheetData>
    <row r="1" ht="26" customHeight="1">
      <c r="A1" s="1" t="inlineStr">
        <is>
          <t>DASHBOARD AMMINISTRATORE - RIPARTO SPESE CONDOMINIO 2026</t>
        </is>
      </c>
    </row>
    <row r="2"/>
    <row r="3">
      <c r="A3" s="22" t="inlineStr">
        <is>
          <t>INDICATORI GENERALI</t>
        </is>
      </c>
    </row>
    <row r="4">
      <c r="A4" s="15" t="inlineStr">
        <is>
          <t>Totale spese ordinarie</t>
        </is>
      </c>
      <c r="B4" s="16" t="n"/>
      <c r="C4" s="23">
        <f>Spese_Ordinarie!I15</f>
        <v/>
      </c>
    </row>
    <row r="5">
      <c r="A5" s="15" t="inlineStr">
        <is>
          <t>Media spesa per voce</t>
        </is>
      </c>
      <c r="B5" s="16" t="n"/>
      <c r="C5" s="23">
        <f>AVERAGE(Spese_Ordinarie!I5:I14)</f>
        <v/>
      </c>
    </row>
    <row r="6">
      <c r="A6" s="15" t="inlineStr">
        <is>
          <t>Numero condomini</t>
        </is>
      </c>
      <c r="B6" s="16" t="n"/>
      <c r="C6" s="24">
        <f>COUNTA(Condomini!A4:A13)</f>
        <v/>
      </c>
    </row>
    <row r="7">
      <c r="A7" s="15" t="inlineStr">
        <is>
          <t>Numero condomini morosi</t>
        </is>
      </c>
      <c r="B7" s="16" t="n"/>
      <c r="C7" s="24">
        <f>COUNTIF(Condomini!N4:N13,"Da saldare")</f>
        <v/>
      </c>
    </row>
    <row r="8">
      <c r="A8" s="15" t="inlineStr">
        <is>
          <t>Quota media per condomino</t>
        </is>
      </c>
      <c r="B8" s="16" t="n"/>
      <c r="C8" s="23">
        <f>AVERAGE(Condomini!K4:K13)</f>
        <v/>
      </c>
    </row>
    <row r="9">
      <c r="A9" s="15" t="inlineStr">
        <is>
          <t>Saldi da incassare (totale)</t>
        </is>
      </c>
      <c r="B9" s="16" t="n"/>
      <c r="C9" s="23">
        <f>SUMIF(Condomini!M4:M13,"&gt;0")</f>
        <v/>
      </c>
    </row>
    <row r="10">
      <c r="A10" s="15" t="inlineStr">
        <is>
          <t>Crediti verso condomini (totale)</t>
        </is>
      </c>
      <c r="B10" s="16" t="n"/>
      <c r="C10" s="23">
        <f>IFERROR(-SUMIF(Condomini!M4:M13,"&lt;0"),0)</f>
        <v/>
      </c>
    </row>
    <row r="11"/>
    <row r="12">
      <c r="A12" s="20" t="inlineStr">
        <is>
          <t>Alert morosità (&gt;2 condomini):</t>
        </is>
      </c>
      <c r="C12" s="21">
        <f>IF(C7&gt;2,"ATTENZIONE: verificare morosità","Situazione sotto controllo")</f>
        <v/>
      </c>
    </row>
    <row r="13"/>
    <row r="14"/>
    <row r="15">
      <c r="A15" s="22" t="inlineStr">
        <is>
          <t>SPESE PER CATEGORIA</t>
        </is>
      </c>
    </row>
    <row r="16">
      <c r="A16" s="3" t="inlineStr">
        <is>
          <t>Categoria</t>
        </is>
      </c>
      <c r="B16" s="3" t="inlineStr">
        <is>
          <t>Totale Spesa</t>
        </is>
      </c>
      <c r="C16" s="3" t="inlineStr">
        <is>
          <t>% Incidenza</t>
        </is>
      </c>
    </row>
    <row r="17">
      <c r="A17" s="4" t="inlineStr">
        <is>
          <t>Pulizia scale</t>
        </is>
      </c>
      <c r="B17" s="5">
        <f>SUMIF(Spese_Ordinarie!$C$5:$C$14,A17,Spese_Ordinarie!$I$5:$I$14)</f>
        <v/>
      </c>
      <c r="C17" s="6">
        <f>IFERROR(B17/Spese_Ordinarie!$I$15,0)</f>
        <v/>
      </c>
    </row>
    <row r="18">
      <c r="A18" s="8" t="inlineStr">
        <is>
          <t>Energia elettrica scale</t>
        </is>
      </c>
      <c r="B18" s="9">
        <f>SUMIF(Spese_Ordinarie!$C$5:$C$14,A18,Spese_Ordinarie!$I$5:$I$14)</f>
        <v/>
      </c>
      <c r="C18" s="10">
        <f>IFERROR(B18/Spese_Ordinarie!$I$15,0)</f>
        <v/>
      </c>
    </row>
    <row r="19">
      <c r="A19" s="4" t="inlineStr">
        <is>
          <t>Manutenzione ascensore</t>
        </is>
      </c>
      <c r="B19" s="5">
        <f>SUMIF(Spese_Ordinarie!$C$5:$C$14,A19,Spese_Ordinarie!$I$5:$I$14)</f>
        <v/>
      </c>
      <c r="C19" s="6">
        <f>IFERROR(B19/Spese_Ordinarie!$I$15,0)</f>
        <v/>
      </c>
    </row>
    <row r="20">
      <c r="A20" s="8" t="inlineStr">
        <is>
          <t>Giardinaggio</t>
        </is>
      </c>
      <c r="B20" s="9">
        <f>SUMIF(Spese_Ordinarie!$C$5:$C$14,A20,Spese_Ordinarie!$I$5:$I$14)</f>
        <v/>
      </c>
      <c r="C20" s="10">
        <f>IFERROR(B20/Spese_Ordinarie!$I$15,0)</f>
        <v/>
      </c>
    </row>
    <row r="21">
      <c r="A21" s="4" t="inlineStr">
        <is>
          <t>Assicurazione condominiale</t>
        </is>
      </c>
      <c r="B21" s="5">
        <f>SUMIF(Spese_Ordinarie!$C$5:$C$14,A21,Spese_Ordinarie!$I$5:$I$14)</f>
        <v/>
      </c>
      <c r="C21" s="6">
        <f>IFERROR(B21/Spese_Ordinarie!$I$15,0)</f>
        <v/>
      </c>
    </row>
    <row r="22">
      <c r="A22" s="8" t="inlineStr">
        <is>
          <t>Spurgo pozzetti</t>
        </is>
      </c>
      <c r="B22" s="9">
        <f>SUMIF(Spese_Ordinarie!$C$5:$C$14,A22,Spese_Ordinarie!$I$5:$I$14)</f>
        <v/>
      </c>
      <c r="C22" s="10">
        <f>IFERROR(B22/Spese_Ordinarie!$I$15,0)</f>
        <v/>
      </c>
    </row>
    <row r="23">
      <c r="A23" s="4" t="inlineStr">
        <is>
          <t>Riparazioni idrauliche</t>
        </is>
      </c>
      <c r="B23" s="5">
        <f>SUMIF(Spese_Ordinarie!$C$5:$C$14,A23,Spese_Ordinarie!$I$5:$I$14)</f>
        <v/>
      </c>
      <c r="C23" s="6">
        <f>IFERROR(B23/Spese_Ordinarie!$I$15,0)</f>
        <v/>
      </c>
    </row>
    <row r="24">
      <c r="A24" s="8" t="inlineStr">
        <is>
          <t>Manutenzione portone</t>
        </is>
      </c>
      <c r="B24" s="9">
        <f>SUMIF(Spese_Ordinarie!$C$5:$C$14,A24,Spese_Ordinarie!$I$5:$I$14)</f>
        <v/>
      </c>
      <c r="C24" s="10">
        <f>IFERROR(B24/Spese_Ordinarie!$I$15,0)</f>
        <v/>
      </c>
    </row>
    <row r="25">
      <c r="A25" s="4" t="inlineStr">
        <is>
          <t>Revisione caldaia centralizzata</t>
        </is>
      </c>
      <c r="B25" s="5">
        <f>SUMIF(Spese_Ordinarie!$C$5:$C$14,A25,Spese_Ordinarie!$I$5:$I$14)</f>
        <v/>
      </c>
      <c r="C25" s="6">
        <f>IFERROR(B25/Spese_Ordinarie!$I$15,0)</f>
        <v/>
      </c>
    </row>
    <row r="26">
      <c r="A26" s="8" t="inlineStr">
        <is>
          <t>Derattizzazione</t>
        </is>
      </c>
      <c r="B26" s="9">
        <f>SUMIF(Spese_Ordinarie!$C$5:$C$14,A26,Spese_Ordinarie!$I$5:$I$14)</f>
        <v/>
      </c>
      <c r="C26" s="10">
        <f>IFERROR(B26/Spese_Ordinarie!$I$15,0)</f>
        <v/>
      </c>
    </row>
    <row r="27"/>
    <row r="28"/>
    <row r="29">
      <c r="A29" s="22" t="inlineStr">
        <is>
          <t>ANDAMENTO SPESE PER MESE</t>
        </is>
      </c>
    </row>
    <row r="30">
      <c r="A30" s="3" t="inlineStr">
        <is>
          <t>Mese</t>
        </is>
      </c>
      <c r="B30" s="3" t="inlineStr">
        <is>
          <t>Totale Spese</t>
        </is>
      </c>
    </row>
    <row r="31">
      <c r="A31" s="4" t="inlineStr">
        <is>
          <t>Gennaio</t>
        </is>
      </c>
      <c r="B31" s="5">
        <f>SUMPRODUCT((MONTH(Spese_Ordinarie!$B$5:$B$14)=1)*Spese_Ordinarie!$I$5:$I$14)</f>
        <v/>
      </c>
    </row>
    <row r="32">
      <c r="A32" s="8" t="inlineStr">
        <is>
          <t>Febbraio</t>
        </is>
      </c>
      <c r="B32" s="9">
        <f>SUMPRODUCT((MONTH(Spese_Ordinarie!$B$5:$B$14)=2)*Spese_Ordinarie!$I$5:$I$14)</f>
        <v/>
      </c>
    </row>
  </sheetData>
  <mergeCells count="4">
    <mergeCell ref="A1:E1"/>
    <mergeCell ref="A3:C3"/>
    <mergeCell ref="A15:C15"/>
    <mergeCell ref="A29:B29"/>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8" customWidth="1" min="1" max="1"/>
    <col width="90" customWidth="1" min="2" max="2"/>
  </cols>
  <sheetData>
    <row r="1" ht="26" customHeight="1">
      <c r="A1" s="1" t="inlineStr">
        <is>
          <t>GUIDA ALL'USO DEL WORKBOOK</t>
        </is>
      </c>
    </row>
    <row r="2"/>
    <row r="3" ht="45" customHeight="1">
      <c r="A3" s="25" t="inlineStr">
        <is>
          <t>Foglio Spese_Ordinarie</t>
        </is>
      </c>
      <c r="B3" s="26" t="inlineStr">
        <is>
          <t>Inserire ogni nuova spesa ordinaria in una nuova riga: Data, Categoria, Descrizione, Fornitore, N. Fattura, Imponibile e IVA%. L'Importo Lordo e la Quota Riparto si calcolano automaticamente.</t>
        </is>
      </c>
    </row>
    <row r="4" ht="45" customHeight="1">
      <c r="A4" s="25" t="inlineStr">
        <is>
          <t>Come inserire una nuova spesa</t>
        </is>
      </c>
      <c r="B4" s="26" t="inlineStr">
        <is>
          <t>Aggiungere la riga sotto l'ultima esistente (prima della riga TOTALE), compilare le celle gialle di input (Imponibile, IVA%, Millesimi) e verificare che la colonna Controllo indichi 'OK'.</t>
        </is>
      </c>
    </row>
    <row r="5" ht="45" customHeight="1">
      <c r="A5" s="25" t="inlineStr">
        <is>
          <t>Come aggiornare i millesimi</t>
        </is>
      </c>
      <c r="B5" s="26" t="inlineStr">
        <is>
          <t>Nel foglio Condomini modificare le colonne Millesimi Generali, Riscaldamento e Ascensore in base alla tabella millesimale approvata in assemblea. La somma dei Millesimi Generali deve sempre risultare 1.000.</t>
        </is>
      </c>
    </row>
    <row r="6" ht="45" customHeight="1">
      <c r="A6" s="25" t="inlineStr">
        <is>
          <t>Come leggere saldo e stato</t>
        </is>
      </c>
      <c r="B6" s="26" t="inlineStr">
        <is>
          <t>La colonna Saldo (Quota Totale Spese - Pagato) indica quanto deve ancora versare o quanto ha versato in eccesso il condomino. Lo Stato mostra 'Regolare' se saldo zero, 'Da saldare' se saldo positivo, 'Credito' se saldo negativo.</t>
        </is>
      </c>
    </row>
    <row r="7" ht="45" customHeight="1">
      <c r="A7" s="25" t="inlineStr">
        <is>
          <t>Riparto ordinario e criteri millesimali</t>
        </is>
      </c>
      <c r="B7" s="26" t="inlineStr">
        <is>
          <t>Le spese ordinarie (pulizia, luce scale, ascensore, giardinaggio, assicurazione, spurgo, piccole riparazioni) si ripartiscono in base ai millesimi di proprietà generale, salvo diversa destinazione d'uso (es. ascensore solo per chi ne beneficia) secondo l'art. 1123 c.c.</t>
        </is>
      </c>
    </row>
    <row r="8" ht="45" customHeight="1">
      <c r="A8" s="25" t="inlineStr">
        <is>
          <t>Foglio Riepilogo</t>
        </is>
      </c>
      <c r="B8" s="26" t="inlineStr">
        <is>
          <t>Contiene gli indicatori sintetici, la ripartizione delle spese per categoria con relativi grafici e l'andamento mensile delle spese, utile per la relazione annuale dell'amministratore.</t>
        </is>
      </c>
    </row>
    <row r="9" ht="45" customHeight="1">
      <c r="A9" s="25" t="inlineStr">
        <is>
          <t>Avviso importante</t>
        </is>
      </c>
      <c r="B9" s="26" t="inlineStr">
        <is>
          <t>Verificare sempre le delibere assembleari e il regolamento condominiale vigente prima di modificare criteri di riparto o tabelle millesimali: eventuali deroghe devono essere approvate dall'assemblea.</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2026-07-14T04:01:38Z</dcterms:created>
  <dcterms:modified xmlns:dcterms="http://purl.org/dc/terms/" xmlns:xsi="http://www.w3.org/2001/XMLSchema-instance" xsi:type="dcterms:W3CDTF">2026-07-14T04:01:38Z</dcterms:modified>
</cp:coreProperties>
</file>