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enti Fondo" sheetId="1" state="visible" r:id="rId1"/>
    <sheet xmlns:r="http://schemas.openxmlformats.org/officeDocument/2006/relationships" name="Anagrafic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#.##0,00 &quot;€&quot;"/>
    <numFmt numFmtId="166" formatCode="0,0%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i val="1"/>
      <color rgb="006B7280"/>
      <sz val="9"/>
    </font>
    <font>
      <name val="Calibri"/>
      <b val="1"/>
      <color rgb="0016A34A"/>
      <sz val="11"/>
    </font>
    <font>
      <name val="Calibri"/>
      <b val="1"/>
      <color rgb="00DC2626"/>
      <sz val="11"/>
    </font>
    <font>
      <name val="Calibri"/>
      <b val="1"/>
      <color rgb="000F766E"/>
      <sz val="11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CCFBF1"/>
      </patternFill>
    </fill>
    <fill>
      <patternFill patternType="solid">
        <fgColor rgb="0014B8A6"/>
      </patternFill>
    </fill>
    <fill>
      <patternFill patternType="solid">
        <fgColor rgb="00ECFDF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 wrapText="1"/>
    </xf>
    <xf numFmtId="1" fontId="3" fillId="3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right" vertical="center"/>
    </xf>
    <xf numFmtId="0" fontId="4" fillId="0" borderId="0" pivotButton="0" quotePrefix="0" xfId="0"/>
    <xf numFmtId="165" fontId="4" fillId="3" borderId="1" pivotButton="0" quotePrefix="0" xfId="0"/>
    <xf numFmtId="0" fontId="5" fillId="0" borderId="0" pivotButton="0" quotePrefix="0" xfId="0"/>
    <xf numFmtId="0" fontId="2" fillId="6" borderId="0" pivotButton="0" quotePrefix="0" xfId="0"/>
    <xf numFmtId="0" fontId="0" fillId="6" borderId="0" pivotButton="0" quotePrefix="0" xfId="0"/>
    <xf numFmtId="0" fontId="4" fillId="7" borderId="1" applyAlignment="1" pivotButton="0" quotePrefix="0" xfId="0">
      <alignment horizontal="left" vertical="center" wrapText="1"/>
    </xf>
    <xf numFmtId="165" fontId="6" fillId="7" borderId="1" applyAlignment="1" pivotButton="0" quotePrefix="0" xfId="0">
      <alignment horizontal="right" vertical="center"/>
    </xf>
    <xf numFmtId="0" fontId="2" fillId="2" borderId="1" pivotButton="0" quotePrefix="0" xfId="0"/>
    <xf numFmtId="0" fontId="0" fillId="0" borderId="1" pivotButton="0" quotePrefix="0" xfId="0"/>
    <xf numFmtId="165" fontId="0" fillId="0" borderId="1" pivotButton="0" quotePrefix="0" xfId="0"/>
    <xf numFmtId="165" fontId="7" fillId="7" borderId="1" applyAlignment="1" pivotButton="0" quotePrefix="0" xfId="0">
      <alignment horizontal="right" vertical="center"/>
    </xf>
    <xf numFmtId="166" fontId="6" fillId="7" borderId="1" applyAlignment="1" pivotButton="0" quotePrefix="0" xfId="0">
      <alignment horizontal="right" vertical="center"/>
    </xf>
    <xf numFmtId="1" fontId="7" fillId="7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center" vertical="center" wrapText="1"/>
    </xf>
    <xf numFmtId="165" fontId="4" fillId="3" borderId="1" pivotButton="0" quotePrefix="0" xfId="0"/>
    <xf numFmtId="165" fontId="6" fillId="7" borderId="1" applyAlignment="1" pivotButton="0" quotePrefix="0" xfId="0">
      <alignment horizontal="right" vertical="center"/>
    </xf>
    <xf numFmtId="165" fontId="0" fillId="0" borderId="1" pivotButton="0" quotePrefix="0" xfId="0"/>
    <xf numFmtId="165" fontId="7" fillId="7" borderId="1" applyAlignment="1" pivotButton="0" quotePrefix="0" xfId="0">
      <alignment horizontal="right" vertical="center"/>
    </xf>
    <xf numFmtId="166" fontId="6" fillId="7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1"/>
      </font>
    </dxf>
    <dxf>
      <font>
        <name val="Calibri"/>
        <b val="1"/>
        <color rgb="0016A34A"/>
        <sz val="1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Versamenti e spese per mese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'Dashboard'!$D$4:$D$9</f>
            </numRef>
          </cat>
          <val>
            <numRef>
              <f>'Dashboard'!$E$4:$E$9</f>
            </numRef>
          </val>
        </ser>
        <ser>
          <idx val="1"/>
          <order val="1"/>
          <tx>
            <strRef>
              <f>'Dashboard'!F3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'Dashboard'!$D$4:$D$9</f>
            </numRef>
          </cat>
          <val>
            <numRef>
              <f>'Dashboard'!$F$4:$F$9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spese per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'Dashboard'!$D$14:$D$16</f>
            </numRef>
          </cat>
          <val>
            <numRef>
              <f>'Dashboard'!$E$14:$E$16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Quota deliberata, versato e residuo per unità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'Dashboard'!E20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'Dashboard'!$D$21:$D$29</f>
            </numRef>
          </cat>
          <val>
            <numRef>
              <f>'Dashboard'!$E$21:$E$29</f>
            </numRef>
          </val>
        </ser>
        <ser>
          <idx val="1"/>
          <order val="1"/>
          <tx>
            <strRef>
              <f>'Dashboard'!F20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'Dashboard'!$D$21:$D$29</f>
            </numRef>
          </cat>
          <val>
            <numRef>
              <f>'Dashboard'!$F$21:$F$29</f>
            </numRef>
          </val>
        </ser>
        <ser>
          <idx val="2"/>
          <order val="2"/>
          <tx>
            <strRef>
              <f>'Dashboard'!G20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'Dashboard'!$D$21:$D$29</f>
            </numRef>
          </cat>
          <val>
            <numRef>
              <f>'Dashboard'!$G$21:$G$29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13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30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3" customWidth="1" min="3" max="3"/>
    <col width="19" customWidth="1" min="4" max="4"/>
    <col width="14" customWidth="1" min="5" max="5"/>
    <col width="20" customWidth="1" min="6" max="6"/>
    <col width="28" customWidth="1" min="7" max="7"/>
    <col width="45" customWidth="1" min="8" max="8"/>
    <col width="15" customWidth="1" min="9" max="9"/>
    <col width="13" customWidth="1" min="10" max="10"/>
    <col width="13" customWidth="1" min="11" max="11"/>
    <col width="16" customWidth="1" min="12" max="12"/>
    <col width="11" customWidth="1" min="13" max="13"/>
    <col width="24" customWidth="1" min="14" max="14"/>
  </cols>
  <sheetData>
    <row r="1" ht="28" customHeight="1">
      <c r="A1" s="1" t="inlineStr">
        <is>
          <t>Movimenti del Fondo Riserva Lavori Straordinari</t>
        </is>
      </c>
    </row>
    <row r="2">
      <c r="A2" s="2" t="inlineStr">
        <is>
          <t>ID</t>
        </is>
      </c>
      <c r="B2" s="2" t="inlineStr">
        <is>
          <t>Data movimento</t>
        </is>
      </c>
      <c r="C2" s="2" t="inlineStr">
        <is>
          <t>Tipo movimento</t>
        </is>
      </c>
      <c r="D2" s="2" t="inlineStr">
        <is>
          <t>Categoria</t>
        </is>
      </c>
      <c r="E2" s="2" t="inlineStr">
        <is>
          <t>Unità immobiliare</t>
        </is>
      </c>
      <c r="F2" s="2" t="inlineStr">
        <is>
          <t>Proprietario</t>
        </is>
      </c>
      <c r="G2" s="2" t="inlineStr">
        <is>
          <t>Fornitore / beneficiario</t>
        </is>
      </c>
      <c r="H2" s="2" t="inlineStr">
        <is>
          <t>Descrizione</t>
        </is>
      </c>
      <c r="I2" s="2" t="inlineStr">
        <is>
          <t>N. documento</t>
        </is>
      </c>
      <c r="J2" s="2" t="inlineStr">
        <is>
          <t>Entrata (€)</t>
        </is>
      </c>
      <c r="K2" s="2" t="inlineStr">
        <is>
          <t>Uscita (€)</t>
        </is>
      </c>
      <c r="L2" s="2" t="inlineStr">
        <is>
          <t>Saldo progressivo (€)</t>
        </is>
      </c>
      <c r="M2" s="2" t="inlineStr">
        <is>
          <t>Stato</t>
        </is>
      </c>
      <c r="N2" s="2" t="inlineStr">
        <is>
          <t>Note</t>
        </is>
      </c>
    </row>
    <row r="3">
      <c r="A3" s="3" t="n">
        <v>1</v>
      </c>
      <c r="B3" s="38" t="n">
        <v>46063</v>
      </c>
      <c r="C3" s="5" t="inlineStr">
        <is>
          <t>Versamento</t>
        </is>
      </c>
      <c r="D3" s="5" t="inlineStr">
        <is>
          <t>Quota straordinaria</t>
        </is>
      </c>
      <c r="E3" s="5" t="inlineStr">
        <is>
          <t>U-01</t>
        </is>
      </c>
      <c r="F3" s="6">
        <f>IFERROR(VLOOKUP(E3,Anagrafica!$A:$K,3,FALSE),"")</f>
        <v/>
      </c>
      <c r="G3" s="5" t="n"/>
      <c r="H3" s="5" t="inlineStr">
        <is>
          <t>Prima rata quota straordinaria rifacimento facciata</t>
        </is>
      </c>
      <c r="I3" s="5" t="inlineStr">
        <is>
          <t>BON-2026-001</t>
        </is>
      </c>
      <c r="J3" s="39" t="n">
        <v>5400</v>
      </c>
      <c r="K3" s="39" t="n">
        <v>0</v>
      </c>
      <c r="L3" s="40">
        <f>SUM($J$3:J3)-SUM($K$3:K3)</f>
        <v/>
      </c>
      <c r="M3" s="9" t="inlineStr">
        <is>
          <t>Bonifico ricevuto</t>
        </is>
      </c>
    </row>
    <row r="4">
      <c r="A4" s="10" t="n">
        <v>2</v>
      </c>
      <c r="B4" s="41" t="n">
        <v>46068</v>
      </c>
      <c r="C4" s="5" t="inlineStr">
        <is>
          <t>Versamento</t>
        </is>
      </c>
      <c r="D4" s="5" t="inlineStr">
        <is>
          <t>Quota straordinaria</t>
        </is>
      </c>
      <c r="E4" s="5" t="inlineStr">
        <is>
          <t>U-02</t>
        </is>
      </c>
      <c r="F4" s="12">
        <f>IFERROR(VLOOKUP(E4,Anagrafica!$A:$K,3,FALSE),"")</f>
        <v/>
      </c>
      <c r="G4" s="5" t="n"/>
      <c r="H4" s="5" t="inlineStr">
        <is>
          <t>Prima rata quota straordinaria</t>
        </is>
      </c>
      <c r="I4" s="5" t="inlineStr">
        <is>
          <t>BON-2026-002</t>
        </is>
      </c>
      <c r="J4" s="39" t="n">
        <v>4725</v>
      </c>
      <c r="K4" s="39" t="n">
        <v>0</v>
      </c>
      <c r="L4" s="42">
        <f>SUM($J$3:J4)-SUM($K$3:K4)</f>
        <v/>
      </c>
      <c r="M4" s="9" t="n"/>
    </row>
    <row r="5">
      <c r="A5" s="3" t="n">
        <v>3</v>
      </c>
      <c r="B5" s="38" t="n">
        <v>46086</v>
      </c>
      <c r="C5" s="5" t="inlineStr">
        <is>
          <t>Spesa</t>
        </is>
      </c>
      <c r="D5" s="5" t="inlineStr">
        <is>
          <t>Acconto</t>
        </is>
      </c>
      <c r="E5" s="5" t="n"/>
      <c r="F5" s="6">
        <f>IFERROR(VLOOKUP(E5,Anagrafica!$A:$K,3,FALSE),"")</f>
        <v/>
      </c>
      <c r="G5" s="5" t="inlineStr">
        <is>
          <t>Edilizia Lombarda SRL</t>
        </is>
      </c>
      <c r="H5" s="5" t="inlineStr">
        <is>
          <t>Acconto lavori rifacimento facciata (30%)</t>
        </is>
      </c>
      <c r="I5" s="5" t="inlineStr">
        <is>
          <t>DDT-2026-015</t>
        </is>
      </c>
      <c r="J5" s="39" t="n">
        <v>0</v>
      </c>
      <c r="K5" s="39" t="n">
        <v>13500</v>
      </c>
      <c r="L5" s="40">
        <f>SUM($J$3:J5)-SUM($K$3:K5)</f>
        <v/>
      </c>
      <c r="M5" s="9" t="inlineStr">
        <is>
          <t>P.IVA 09876543210</t>
        </is>
      </c>
    </row>
    <row r="6">
      <c r="A6" s="10" t="n">
        <v>4</v>
      </c>
      <c r="B6" s="41" t="n">
        <v>46101</v>
      </c>
      <c r="C6" s="5" t="inlineStr">
        <is>
          <t>Versamento</t>
        </is>
      </c>
      <c r="D6" s="5" t="inlineStr">
        <is>
          <t>Quota straordinaria</t>
        </is>
      </c>
      <c r="E6" s="5" t="inlineStr">
        <is>
          <t>U-03</t>
        </is>
      </c>
      <c r="F6" s="12">
        <f>IFERROR(VLOOKUP(E6,Anagrafica!$A:$K,3,FALSE),"")</f>
        <v/>
      </c>
      <c r="G6" s="5" t="n"/>
      <c r="H6" s="5" t="inlineStr">
        <is>
          <t>Prima rata quota straordinaria</t>
        </is>
      </c>
      <c r="I6" s="5" t="inlineStr">
        <is>
          <t>BON-2026-008</t>
        </is>
      </c>
      <c r="J6" s="39" t="n">
        <v>5175</v>
      </c>
      <c r="K6" s="39" t="n">
        <v>0</v>
      </c>
      <c r="L6" s="42">
        <f>SUM($J$3:J6)-SUM($K$3:K6)</f>
        <v/>
      </c>
      <c r="M6" s="9" t="n"/>
    </row>
    <row r="7">
      <c r="A7" s="3" t="n">
        <v>5</v>
      </c>
      <c r="B7" s="38" t="n">
        <v>46120</v>
      </c>
      <c r="C7" s="5" t="inlineStr">
        <is>
          <t>Versamento</t>
        </is>
      </c>
      <c r="D7" s="5" t="inlineStr">
        <is>
          <t>Acconto</t>
        </is>
      </c>
      <c r="E7" s="5" t="inlineStr">
        <is>
          <t>U-06</t>
        </is>
      </c>
      <c r="F7" s="6">
        <f>IFERROR(VLOOKUP(E7,Anagrafica!$A:$K,3,FALSE),"")</f>
        <v/>
      </c>
      <c r="G7" s="5" t="n"/>
      <c r="H7" s="5" t="inlineStr">
        <is>
          <t>Acconto seconda rata quota straordinaria</t>
        </is>
      </c>
      <c r="I7" s="5" t="inlineStr">
        <is>
          <t>BON-2026-014</t>
        </is>
      </c>
      <c r="J7" s="39" t="n">
        <v>2812.5</v>
      </c>
      <c r="K7" s="39" t="n">
        <v>0</v>
      </c>
      <c r="L7" s="40">
        <f>SUM($J$3:J7)-SUM($K$3:K7)</f>
        <v/>
      </c>
      <c r="M7" s="9" t="inlineStr">
        <is>
          <t>50% della seconda rata</t>
        </is>
      </c>
    </row>
    <row r="8">
      <c r="A8" s="10" t="n">
        <v>6</v>
      </c>
      <c r="B8" s="41" t="n">
        <v>46142</v>
      </c>
      <c r="C8" s="5" t="inlineStr">
        <is>
          <t>Spesa</t>
        </is>
      </c>
      <c r="D8" s="5" t="inlineStr">
        <is>
          <t>Fattura</t>
        </is>
      </c>
      <c r="E8" s="5" t="n"/>
      <c r="F8" s="12">
        <f>IFERROR(VLOOKUP(E8,Anagrafica!$A:$K,3,FALSE),"")</f>
        <v/>
      </c>
      <c r="G8" s="5" t="inlineStr">
        <is>
          <t>Edilizia Lombarda SRL</t>
        </is>
      </c>
      <c r="H8" s="5" t="inlineStr">
        <is>
          <t>Fattura n. 45 - SAL rifacimento facciata</t>
        </is>
      </c>
      <c r="I8" s="5" t="inlineStr">
        <is>
          <t>FT-2026-045</t>
        </is>
      </c>
      <c r="J8" s="39" t="n">
        <v>0</v>
      </c>
      <c r="K8" s="39" t="n">
        <v>9800</v>
      </c>
      <c r="L8" s="42">
        <f>SUM($J$3:J8)-SUM($K$3:K8)</f>
        <v/>
      </c>
      <c r="M8" s="9" t="inlineStr">
        <is>
          <t>SAL n. 1 approvato</t>
        </is>
      </c>
    </row>
    <row r="9">
      <c r="A9" s="3" t="n">
        <v>7</v>
      </c>
      <c r="B9" s="38" t="n">
        <v>46160</v>
      </c>
      <c r="C9" s="5" t="inlineStr">
        <is>
          <t>Spesa</t>
        </is>
      </c>
      <c r="D9" s="5" t="inlineStr">
        <is>
          <t>Fattura</t>
        </is>
      </c>
      <c r="E9" s="5" t="n"/>
      <c r="F9" s="6">
        <f>IFERROR(VLOOKUP(E9,Anagrafica!$A:$K,3,FALSE),"")</f>
        <v/>
      </c>
      <c r="G9" s="5" t="inlineStr">
        <is>
          <t>Impermeabilizzazioni Triveneto SNC</t>
        </is>
      </c>
      <c r="H9" s="5" t="inlineStr">
        <is>
          <t>Fattura impermeabilizzazione lastrico solare</t>
        </is>
      </c>
      <c r="I9" s="5" t="inlineStr">
        <is>
          <t>FT-2026-112</t>
        </is>
      </c>
      <c r="J9" s="39" t="n">
        <v>0</v>
      </c>
      <c r="K9" s="39" t="n">
        <v>6400</v>
      </c>
      <c r="L9" s="40">
        <f>SUM($J$3:J9)-SUM($K$3:K9)</f>
        <v/>
      </c>
      <c r="M9" s="9" t="inlineStr">
        <is>
          <t>Scadenza 30/06/2026</t>
        </is>
      </c>
    </row>
    <row r="10">
      <c r="A10" s="10" t="n">
        <v>8</v>
      </c>
      <c r="B10" s="41" t="n">
        <v>46175</v>
      </c>
      <c r="C10" s="5" t="inlineStr">
        <is>
          <t>Rettifica</t>
        </is>
      </c>
      <c r="D10" s="5" t="inlineStr">
        <is>
          <t>Interessi</t>
        </is>
      </c>
      <c r="E10" s="5" t="n"/>
      <c r="F10" s="12">
        <f>IFERROR(VLOOKUP(E10,Anagrafica!$A:$K,3,FALSE),"")</f>
        <v/>
      </c>
      <c r="G10" s="5" t="inlineStr">
        <is>
          <t>Banca di riferimento</t>
        </is>
      </c>
      <c r="H10" s="5" t="inlineStr">
        <is>
          <t>Rettifica: interessi attivi sul conto fondo speciale</t>
        </is>
      </c>
      <c r="I10" s="5" t="inlineStr">
        <is>
          <t>EST-2026-06</t>
        </is>
      </c>
      <c r="J10" s="39" t="n">
        <v>85.40000000000001</v>
      </c>
      <c r="K10" s="39" t="n">
        <v>0</v>
      </c>
      <c r="L10" s="42">
        <f>SUM($J$3:J10)-SUM($K$3:K10)</f>
        <v/>
      </c>
      <c r="M10" s="9" t="inlineStr">
        <is>
          <t>Rettifica contabile</t>
        </is>
      </c>
    </row>
    <row r="11">
      <c r="A11" s="3" t="n">
        <v>9</v>
      </c>
      <c r="B11" s="38" t="n">
        <v>46198</v>
      </c>
      <c r="C11" s="5" t="inlineStr">
        <is>
          <t>Spesa</t>
        </is>
      </c>
      <c r="D11" s="5" t="inlineStr">
        <is>
          <t>SAL lavori</t>
        </is>
      </c>
      <c r="E11" s="5" t="n"/>
      <c r="F11" s="6">
        <f>IFERROR(VLOOKUP(E11,Anagrafica!$A:$K,3,FALSE),"")</f>
        <v/>
      </c>
      <c r="G11" s="5" t="inlineStr">
        <is>
          <t>Ponteggi Sicuri SRL</t>
        </is>
      </c>
      <c r="H11" s="5" t="inlineStr">
        <is>
          <t>SAL montaggio ponteggio prospetto principale</t>
        </is>
      </c>
      <c r="I11" s="5" t="inlineStr">
        <is>
          <t>SAL-2026-03</t>
        </is>
      </c>
      <c r="J11" s="39" t="n">
        <v>0</v>
      </c>
      <c r="K11" s="39" t="n">
        <v>3200</v>
      </c>
      <c r="L11" s="40">
        <f>SUM($J$3:J11)-SUM($K$3:K11)</f>
        <v/>
      </c>
      <c r="M11" s="9" t="n"/>
    </row>
    <row r="12">
      <c r="A12" s="10" t="n">
        <v>10</v>
      </c>
      <c r="B12" s="41" t="n">
        <v>46215</v>
      </c>
      <c r="C12" s="5" t="inlineStr">
        <is>
          <t>Versamento</t>
        </is>
      </c>
      <c r="D12" s="5" t="inlineStr">
        <is>
          <t>Rimborso</t>
        </is>
      </c>
      <c r="E12" s="5" t="n"/>
      <c r="F12" s="12">
        <f>IFERROR(VLOOKUP(E12,Anagrafica!$A:$K,3,FALSE),"")</f>
        <v/>
      </c>
      <c r="G12" s="5" t="inlineStr">
        <is>
          <t>Assicurazioni Aurora SpA</t>
        </is>
      </c>
      <c r="H12" s="5" t="inlineStr">
        <is>
          <t>Rimborso assicurativo danno infiltrazione lastrico</t>
        </is>
      </c>
      <c r="I12" s="5" t="inlineStr">
        <is>
          <t>RIM-2026-077</t>
        </is>
      </c>
      <c r="J12" s="39" t="n">
        <v>4100</v>
      </c>
      <c r="K12" s="39" t="n">
        <v>0</v>
      </c>
      <c r="L12" s="42">
        <f>SUM($J$3:J12)-SUM($K$3:K12)</f>
        <v/>
      </c>
      <c r="M12" s="9" t="inlineStr">
        <is>
          <t>Pratica n. 2026/145</t>
        </is>
      </c>
    </row>
    <row r="13">
      <c r="H13" s="14" t="inlineStr">
        <is>
          <t>TOTALI</t>
        </is>
      </c>
      <c r="J13" s="43">
        <f>SUM(J3:J12)</f>
        <v/>
      </c>
      <c r="K13" s="43">
        <f>SUM(K3:K12)</f>
        <v/>
      </c>
      <c r="L13" s="43">
        <f>J13-K13</f>
        <v/>
      </c>
    </row>
  </sheetData>
  <mergeCells count="1">
    <mergeCell ref="A1:N1"/>
  </mergeCells>
  <conditionalFormatting sqref="L3:L12">
    <cfRule type="expression" priority="1" dxfId="0" stopIfTrue="1">
      <formula>$L3&lt;0</formula>
    </cfRule>
    <cfRule type="expression" priority="2" dxfId="1" stopIfTrue="1">
      <formula>$L3&gt;=0</formula>
    </cfRule>
  </conditionalFormatting>
  <conditionalFormatting sqref="M3:M12">
    <cfRule type="expression" priority="3" dxfId="0" stopIfTrue="1">
      <formula>$M3="Da pagare"</formula>
    </cfRule>
    <cfRule type="expression" priority="4" dxfId="1" stopIfTrue="1">
      <formula>$M3="Pagato"</formula>
    </cfRule>
  </conditionalFormatting>
  <dataValidations count="4">
    <dataValidation sqref="C3:C50" showErrorMessage="1" showInputMessage="1" allowBlank="1" type="list">
      <formula1>"Versamento,Spesa,Rettifica"</formula1>
    </dataValidation>
    <dataValidation sqref="D3:D50" showErrorMessage="1" showInputMessage="1" allowBlank="1" type="list">
      <formula1>"Quota straordinaria,Acconto,SAL lavori,Fattura,Rimborso,Interessi"</formula1>
    </dataValidation>
    <dataValidation sqref="M3:M50" showErrorMessage="1" showInputMessage="1" allowBlank="1" type="list">
      <formula1>"Pagato,Da pagare,Parziale"</formula1>
    </dataValidation>
    <dataValidation sqref="E3:E50" showErrorMessage="1" showInputMessage="1" allowBlank="1" type="list">
      <formula1>"U-01,U-02,U-03,U-04,U-05,U-06,U-07,U-08,U-09"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22" customWidth="1" min="3" max="3"/>
    <col width="22" customWidth="1" min="4" max="4"/>
    <col width="20" customWidth="1" min="5" max="5"/>
    <col width="12" customWidth="1" min="6" max="6"/>
    <col width="17" customWidth="1" min="7" max="7"/>
    <col width="17" customWidth="1" min="8" max="8"/>
    <col width="18" customWidth="1" min="9" max="9"/>
    <col width="13" customWidth="1" min="10" max="10"/>
    <col width="14" customWidth="1" min="11" max="11"/>
  </cols>
  <sheetData>
    <row r="1" ht="28" customHeight="1">
      <c r="A1" s="1" t="inlineStr">
        <is>
          <t>Anagrafica Unità Immobiliari - Condominio Via Roma 12, Milano</t>
        </is>
      </c>
    </row>
    <row r="2">
      <c r="A2" s="2" t="inlineStr">
        <is>
          <t>Unità immobiliare</t>
        </is>
      </c>
      <c r="B2" s="2" t="inlineStr">
        <is>
          <t>Interno</t>
        </is>
      </c>
      <c r="C2" s="2" t="inlineStr">
        <is>
          <t>Proprietario</t>
        </is>
      </c>
      <c r="D2" s="2" t="inlineStr">
        <is>
          <t>Indirizzo</t>
        </is>
      </c>
      <c r="E2" s="2" t="inlineStr">
        <is>
          <t>Codice fiscale</t>
        </is>
      </c>
      <c r="F2" s="2" t="inlineStr">
        <is>
          <t>Millesimi proprietà</t>
        </is>
      </c>
      <c r="G2" s="2" t="inlineStr">
        <is>
          <t>Quota deliberata (€)</t>
        </is>
      </c>
      <c r="H2" s="2" t="inlineStr">
        <is>
          <t>Importo versato (€)</t>
        </is>
      </c>
      <c r="I2" s="2" t="inlineStr">
        <is>
          <t>Residuo da versare (€)</t>
        </is>
      </c>
      <c r="J2" s="2" t="inlineStr">
        <is>
          <t>Percentuale versata</t>
        </is>
      </c>
      <c r="K2" s="2" t="inlineStr">
        <is>
          <t>Stato posizione</t>
        </is>
      </c>
    </row>
    <row r="3">
      <c r="A3" s="16" t="inlineStr">
        <is>
          <t>U-01</t>
        </is>
      </c>
      <c r="B3" s="16" t="inlineStr">
        <is>
          <t>Int. 1</t>
        </is>
      </c>
      <c r="C3" s="5" t="inlineStr">
        <is>
          <t>Marco Rossi</t>
        </is>
      </c>
      <c r="D3" s="5" t="inlineStr">
        <is>
          <t>Via Roma 12, Milano</t>
        </is>
      </c>
      <c r="E3" s="5" t="inlineStr">
        <is>
          <t>RSSMRC80A01F205X</t>
        </is>
      </c>
      <c r="F3" s="17" t="n">
        <v>120</v>
      </c>
      <c r="G3" s="44">
        <f>F3/SUM($F$3:$F$11)*$B$14</f>
        <v/>
      </c>
      <c r="H3" s="44">
        <f>SUMIF('Movimenti Fondo'!$E:$E,A3,'Movimenti Fondo'!$J:$J)</f>
        <v/>
      </c>
      <c r="I3" s="44">
        <f>MAX(0,G3-H3)</f>
        <v/>
      </c>
      <c r="J3" s="45">
        <f>IF(G3=0,0,H3/G3)</f>
        <v/>
      </c>
      <c r="K3" s="20">
        <f>IF(I3=0,"Regolare",IF(H3=0,"Non versato","Parziale"))</f>
        <v/>
      </c>
    </row>
    <row r="4">
      <c r="A4" s="3" t="inlineStr">
        <is>
          <t>U-02</t>
        </is>
      </c>
      <c r="B4" s="3" t="inlineStr">
        <is>
          <t>Int. 2</t>
        </is>
      </c>
      <c r="C4" s="6" t="inlineStr">
        <is>
          <t>Giulia Bianchi</t>
        </is>
      </c>
      <c r="D4" s="6" t="inlineStr">
        <is>
          <t>Via Roma 12, Milano</t>
        </is>
      </c>
      <c r="E4" s="6" t="inlineStr">
        <is>
          <t>BNCGLI85B45F205Y</t>
        </is>
      </c>
      <c r="F4" s="21" t="n">
        <v>105</v>
      </c>
      <c r="G4" s="44">
        <f>F4/SUM($F$3:$F$11)*$B$14</f>
        <v/>
      </c>
      <c r="H4" s="44">
        <f>SUMIF('Movimenti Fondo'!$E:$E,A4,'Movimenti Fondo'!$J:$J)</f>
        <v/>
      </c>
      <c r="I4" s="44">
        <f>MAX(0,G4-H4)</f>
        <v/>
      </c>
      <c r="J4" s="45">
        <f>IF(G4=0,0,H4/G4)</f>
        <v/>
      </c>
      <c r="K4" s="20">
        <f>IF(I4=0,"Regolare",IF(H4=0,"Non versato","Parziale"))</f>
        <v/>
      </c>
    </row>
    <row r="5">
      <c r="A5" s="16" t="inlineStr">
        <is>
          <t>U-03</t>
        </is>
      </c>
      <c r="B5" s="16" t="inlineStr">
        <is>
          <t>Int. 3</t>
        </is>
      </c>
      <c r="C5" s="5" t="inlineStr">
        <is>
          <t>Luca Ferrari</t>
        </is>
      </c>
      <c r="D5" s="5" t="inlineStr">
        <is>
          <t>Via Roma 12, Milano</t>
        </is>
      </c>
      <c r="E5" s="5" t="inlineStr">
        <is>
          <t>FRRLCU78C12F205Z</t>
        </is>
      </c>
      <c r="F5" s="17" t="n">
        <v>115</v>
      </c>
      <c r="G5" s="44">
        <f>F5/SUM($F$3:$F$11)*$B$14</f>
        <v/>
      </c>
      <c r="H5" s="44">
        <f>SUMIF('Movimenti Fondo'!$E:$E,A5,'Movimenti Fondo'!$J:$J)</f>
        <v/>
      </c>
      <c r="I5" s="44">
        <f>MAX(0,G5-H5)</f>
        <v/>
      </c>
      <c r="J5" s="45">
        <f>IF(G5=0,0,H5/G5)</f>
        <v/>
      </c>
      <c r="K5" s="20">
        <f>IF(I5=0,"Regolare",IF(H5=0,"Non versato","Parziale"))</f>
        <v/>
      </c>
    </row>
    <row r="6">
      <c r="A6" s="3" t="inlineStr">
        <is>
          <t>U-04</t>
        </is>
      </c>
      <c r="B6" s="3" t="inlineStr">
        <is>
          <t>Int. 4</t>
        </is>
      </c>
      <c r="C6" s="6" t="inlineStr">
        <is>
          <t>Anna Esposito</t>
        </is>
      </c>
      <c r="D6" s="6" t="inlineStr">
        <is>
          <t>Via Roma 12, Milano</t>
        </is>
      </c>
      <c r="E6" s="6" t="inlineStr">
        <is>
          <t>SPSNNA90D60F205W</t>
        </is>
      </c>
      <c r="F6" s="21" t="n">
        <v>110</v>
      </c>
      <c r="G6" s="44">
        <f>F6/SUM($F$3:$F$11)*$B$14</f>
        <v/>
      </c>
      <c r="H6" s="44">
        <f>SUMIF('Movimenti Fondo'!$E:$E,A6,'Movimenti Fondo'!$J:$J)</f>
        <v/>
      </c>
      <c r="I6" s="44">
        <f>MAX(0,G6-H6)</f>
        <v/>
      </c>
      <c r="J6" s="45">
        <f>IF(G6=0,0,H6/G6)</f>
        <v/>
      </c>
      <c r="K6" s="20">
        <f>IF(I6=0,"Regolare",IF(H6=0,"Non versato","Parziale"))</f>
        <v/>
      </c>
    </row>
    <row r="7">
      <c r="A7" s="16" t="inlineStr">
        <is>
          <t>U-05</t>
        </is>
      </c>
      <c r="B7" s="16" t="inlineStr">
        <is>
          <t>Int. 5</t>
        </is>
      </c>
      <c r="C7" s="5" t="inlineStr">
        <is>
          <t>Francesca Romano</t>
        </is>
      </c>
      <c r="D7" s="5" t="inlineStr">
        <is>
          <t>Via Roma 12, Milano</t>
        </is>
      </c>
      <c r="E7" s="5" t="inlineStr">
        <is>
          <t>RMNFNC88E30F205V</t>
        </is>
      </c>
      <c r="F7" s="17" t="n">
        <v>100</v>
      </c>
      <c r="G7" s="44">
        <f>F7/SUM($F$3:$F$11)*$B$14</f>
        <v/>
      </c>
      <c r="H7" s="44">
        <f>SUMIF('Movimenti Fondo'!$E:$E,A7,'Movimenti Fondo'!$J:$J)</f>
        <v/>
      </c>
      <c r="I7" s="44">
        <f>MAX(0,G7-H7)</f>
        <v/>
      </c>
      <c r="J7" s="45">
        <f>IF(G7=0,0,H7/G7)</f>
        <v/>
      </c>
      <c r="K7" s="20">
        <f>IF(I7=0,"Regolare",IF(H7=0,"Non versato","Parziale"))</f>
        <v/>
      </c>
    </row>
    <row r="8">
      <c r="A8" s="3" t="inlineStr">
        <is>
          <t>U-06</t>
        </is>
      </c>
      <c r="B8" s="3" t="inlineStr">
        <is>
          <t>Int. 6</t>
        </is>
      </c>
      <c r="C8" s="6" t="inlineStr">
        <is>
          <t>Giuseppe Conti</t>
        </is>
      </c>
      <c r="D8" s="6" t="inlineStr">
        <is>
          <t>Via Roma 12, Milano</t>
        </is>
      </c>
      <c r="E8" s="6" t="inlineStr">
        <is>
          <t>CNTGPP75F18F205U</t>
        </is>
      </c>
      <c r="F8" s="21" t="n">
        <v>125</v>
      </c>
      <c r="G8" s="44">
        <f>F8/SUM($F$3:$F$11)*$B$14</f>
        <v/>
      </c>
      <c r="H8" s="44">
        <f>SUMIF('Movimenti Fondo'!$E:$E,A8,'Movimenti Fondo'!$J:$J)</f>
        <v/>
      </c>
      <c r="I8" s="44">
        <f>MAX(0,G8-H8)</f>
        <v/>
      </c>
      <c r="J8" s="45">
        <f>IF(G8=0,0,H8/G8)</f>
        <v/>
      </c>
      <c r="K8" s="20">
        <f>IF(I8=0,"Regolare",IF(H8=0,"Non versato","Parziale"))</f>
        <v/>
      </c>
    </row>
    <row r="9">
      <c r="A9" s="16" t="inlineStr">
        <is>
          <t>U-07</t>
        </is>
      </c>
      <c r="B9" s="16" t="inlineStr">
        <is>
          <t>Int. 7</t>
        </is>
      </c>
      <c r="C9" s="5" t="inlineStr">
        <is>
          <t>Sara Greco</t>
        </is>
      </c>
      <c r="D9" s="5" t="inlineStr">
        <is>
          <t>Via Roma 12, Milano</t>
        </is>
      </c>
      <c r="E9" s="5" t="inlineStr">
        <is>
          <t>GRCSRA92G52F205T</t>
        </is>
      </c>
      <c r="F9" s="17" t="n">
        <v>95</v>
      </c>
      <c r="G9" s="44">
        <f>F9/SUM($F$3:$F$11)*$B$14</f>
        <v/>
      </c>
      <c r="H9" s="44">
        <f>SUMIF('Movimenti Fondo'!$E:$E,A9,'Movimenti Fondo'!$J:$J)</f>
        <v/>
      </c>
      <c r="I9" s="44">
        <f>MAX(0,G9-H9)</f>
        <v/>
      </c>
      <c r="J9" s="45">
        <f>IF(G9=0,0,H9/G9)</f>
        <v/>
      </c>
      <c r="K9" s="20">
        <f>IF(I9=0,"Regolare",IF(H9=0,"Non versato","Parziale"))</f>
        <v/>
      </c>
    </row>
    <row r="10">
      <c r="A10" s="3" t="inlineStr">
        <is>
          <t>U-08</t>
        </is>
      </c>
      <c r="B10" s="3" t="inlineStr">
        <is>
          <t>Int. 8</t>
        </is>
      </c>
      <c r="C10" s="6" t="inlineStr">
        <is>
          <t>Matteo Ricci</t>
        </is>
      </c>
      <c r="D10" s="6" t="inlineStr">
        <is>
          <t>Via Roma 12, Milano</t>
        </is>
      </c>
      <c r="E10" s="6" t="inlineStr">
        <is>
          <t>RCCMTT83H07F205S</t>
        </is>
      </c>
      <c r="F10" s="21" t="n">
        <v>130</v>
      </c>
      <c r="G10" s="44">
        <f>F10/SUM($F$3:$F$11)*$B$14</f>
        <v/>
      </c>
      <c r="H10" s="44">
        <f>SUMIF('Movimenti Fondo'!$E:$E,A10,'Movimenti Fondo'!$J:$J)</f>
        <v/>
      </c>
      <c r="I10" s="44">
        <f>MAX(0,G10-H10)</f>
        <v/>
      </c>
      <c r="J10" s="45">
        <f>IF(G10=0,0,H10/G10)</f>
        <v/>
      </c>
      <c r="K10" s="20">
        <f>IF(I10=0,"Regolare",IF(H10=0,"Non versato","Parziale"))</f>
        <v/>
      </c>
    </row>
    <row r="11">
      <c r="A11" s="16" t="inlineStr">
        <is>
          <t>U-09</t>
        </is>
      </c>
      <c r="B11" s="16" t="inlineStr">
        <is>
          <t>Int. 9</t>
        </is>
      </c>
      <c r="C11" s="5" t="inlineStr">
        <is>
          <t>Immobiliare Verdi SRL</t>
        </is>
      </c>
      <c r="D11" s="5" t="inlineStr">
        <is>
          <t>Via Roma 12, Milano</t>
        </is>
      </c>
      <c r="E11" s="5" t="inlineStr">
        <is>
          <t>01234567890</t>
        </is>
      </c>
      <c r="F11" s="17" t="n">
        <v>100</v>
      </c>
      <c r="G11" s="44">
        <f>F11/SUM($F$3:$F$11)*$B$14</f>
        <v/>
      </c>
      <c r="H11" s="44">
        <f>SUMIF('Movimenti Fondo'!$E:$E,A11,'Movimenti Fondo'!$J:$J)</f>
        <v/>
      </c>
      <c r="I11" s="44">
        <f>MAX(0,G11-H11)</f>
        <v/>
      </c>
      <c r="J11" s="45">
        <f>IF(G11=0,0,H11/G11)</f>
        <v/>
      </c>
      <c r="K11" s="20">
        <f>IF(I11=0,"Regolare",IF(H11=0,"Non versato","Parziale"))</f>
        <v/>
      </c>
    </row>
    <row r="12">
      <c r="E12" s="14" t="inlineStr">
        <is>
          <t>TOTALI</t>
        </is>
      </c>
      <c r="F12" s="22">
        <f>SUM(F3:F11)</f>
        <v/>
      </c>
      <c r="G12" s="43">
        <f>SUM(G3:G11)</f>
        <v/>
      </c>
      <c r="H12" s="43">
        <f>SUM(H3:H11)</f>
        <v/>
      </c>
      <c r="I12" s="43">
        <f>SUM(I3:I11)</f>
        <v/>
      </c>
    </row>
    <row r="13"/>
    <row r="14">
      <c r="A14" s="23" t="inlineStr">
        <is>
          <t>Fondo deliberato (delibera assembleare):</t>
        </is>
      </c>
      <c r="B14" s="46" t="n">
        <v>45000</v>
      </c>
    </row>
    <row r="15">
      <c r="A15" s="25" t="inlineStr">
        <is>
          <t>Nota: modificare B14 in base alla delibera assembleare approvata.</t>
        </is>
      </c>
    </row>
  </sheetData>
  <mergeCells count="1">
    <mergeCell ref="A1:K1"/>
  </mergeCells>
  <conditionalFormatting sqref="K3:K11">
    <cfRule type="expression" priority="1" dxfId="1" stopIfTrue="1">
      <formula>$K3="Regolare"</formula>
    </cfRule>
    <cfRule type="expression" priority="2" dxfId="0" stopIfTrue="1">
      <formula>$K3&lt;&gt;"Regolare"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9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" t="inlineStr">
        <is>
          <t>Dashboard - Fondo Riserva Lavori Straordinari</t>
        </is>
      </c>
    </row>
    <row r="2">
      <c r="A2" s="26" t="inlineStr">
        <is>
          <t>Indicatori principali</t>
        </is>
      </c>
      <c r="B2" s="27" t="n"/>
      <c r="D2" s="26" t="inlineStr">
        <is>
          <t>Versamenti e spese per mese</t>
        </is>
      </c>
      <c r="E2" s="27" t="n"/>
      <c r="F2" s="27" t="n"/>
    </row>
    <row r="3">
      <c r="A3" s="28" t="inlineStr">
        <is>
          <t>Fondo deliberato</t>
        </is>
      </c>
      <c r="B3" s="47">
        <f>Anagrafica!$B$14</f>
        <v/>
      </c>
      <c r="D3" s="30" t="inlineStr">
        <is>
          <t>Mese</t>
        </is>
      </c>
      <c r="E3" s="30" t="inlineStr">
        <is>
          <t>Versamenti (€)</t>
        </is>
      </c>
      <c r="F3" s="30" t="inlineStr">
        <is>
          <t>Spese (€)</t>
        </is>
      </c>
    </row>
    <row r="4">
      <c r="A4" s="28" t="inlineStr">
        <is>
          <t>Totale versato</t>
        </is>
      </c>
      <c r="B4" s="47">
        <f>SUM('Movimenti Fondo'!$J:$J)</f>
        <v/>
      </c>
      <c r="D4" s="31" t="inlineStr">
        <is>
          <t>Febbraio</t>
        </is>
      </c>
      <c r="E4" s="48">
        <f>SUMIFS('Movimenti Fondo'!$J:$J,'Movimenti Fondo'!$B:$B,"&gt;="&amp;DATE(2026,2,1),'Movimenti Fondo'!$B:$B,"&lt;"&amp;DATE(2026,2+1,1))</f>
        <v/>
      </c>
      <c r="F4" s="48">
        <f>SUMIFS('Movimenti Fondo'!$K:$K,'Movimenti Fondo'!$B:$B,"&gt;="&amp;DATE(2026,2,1),'Movimenti Fondo'!$B:$B,"&lt;"&amp;DATE(2026,2+1,1))</f>
        <v/>
      </c>
    </row>
    <row r="5">
      <c r="A5" s="28" t="inlineStr">
        <is>
          <t>Totale spese sostenute</t>
        </is>
      </c>
      <c r="B5" s="49">
        <f>SUM('Movimenti Fondo'!$K:$K)</f>
        <v/>
      </c>
      <c r="D5" s="31" t="inlineStr">
        <is>
          <t>Marzo</t>
        </is>
      </c>
      <c r="E5" s="48">
        <f>SUMIFS('Movimenti Fondo'!$J:$J,'Movimenti Fondo'!$B:$B,"&gt;="&amp;DATE(2026,3,1),'Movimenti Fondo'!$B:$B,"&lt;"&amp;DATE(2026,3+1,1))</f>
        <v/>
      </c>
      <c r="F5" s="48">
        <f>SUMIFS('Movimenti Fondo'!$K:$K,'Movimenti Fondo'!$B:$B,"&gt;="&amp;DATE(2026,3,1),'Movimenti Fondo'!$B:$B,"&lt;"&amp;DATE(2026,3+1,1))</f>
        <v/>
      </c>
    </row>
    <row r="6">
      <c r="A6" s="28" t="inlineStr">
        <is>
          <t>Saldo disponibile</t>
        </is>
      </c>
      <c r="B6" s="47">
        <f>B4-B5</f>
        <v/>
      </c>
      <c r="D6" s="31" t="inlineStr">
        <is>
          <t>Aprile</t>
        </is>
      </c>
      <c r="E6" s="48">
        <f>SUMIFS('Movimenti Fondo'!$J:$J,'Movimenti Fondo'!$B:$B,"&gt;="&amp;DATE(2026,4,1),'Movimenti Fondo'!$B:$B,"&lt;"&amp;DATE(2026,4+1,1))</f>
        <v/>
      </c>
      <c r="F6" s="48">
        <f>SUMIFS('Movimenti Fondo'!$K:$K,'Movimenti Fondo'!$B:$B,"&gt;="&amp;DATE(2026,4,1),'Movimenti Fondo'!$B:$B,"&lt;"&amp;DATE(2026,4+1,1))</f>
        <v/>
      </c>
    </row>
    <row r="7">
      <c r="A7" s="28" t="inlineStr">
        <is>
          <t>Ancora da versare</t>
        </is>
      </c>
      <c r="B7" s="49">
        <f>SUM(Anagrafica!$I$3:$I$11)</f>
        <v/>
      </c>
      <c r="D7" s="31" t="inlineStr">
        <is>
          <t>Maggio</t>
        </is>
      </c>
      <c r="E7" s="48">
        <f>SUMIFS('Movimenti Fondo'!$J:$J,'Movimenti Fondo'!$B:$B,"&gt;="&amp;DATE(2026,5,1),'Movimenti Fondo'!$B:$B,"&lt;"&amp;DATE(2026,5+1,1))</f>
        <v/>
      </c>
      <c r="F7" s="48">
        <f>SUMIFS('Movimenti Fondo'!$K:$K,'Movimenti Fondo'!$B:$B,"&gt;="&amp;DATE(2026,5,1),'Movimenti Fondo'!$B:$B,"&lt;"&amp;DATE(2026,5+1,1))</f>
        <v/>
      </c>
    </row>
    <row r="8">
      <c r="A8" s="28" t="inlineStr">
        <is>
          <t>Percentuale incasso</t>
        </is>
      </c>
      <c r="B8" s="50">
        <f>IF(B3=0,0,B4/B3)</f>
        <v/>
      </c>
      <c r="D8" s="31" t="inlineStr">
        <is>
          <t>Giugno</t>
        </is>
      </c>
      <c r="E8" s="48">
        <f>SUMIFS('Movimenti Fondo'!$J:$J,'Movimenti Fondo'!$B:$B,"&gt;="&amp;DATE(2026,6,1),'Movimenti Fondo'!$B:$B,"&lt;"&amp;DATE(2026,6+1,1))</f>
        <v/>
      </c>
      <c r="F8" s="48">
        <f>SUMIFS('Movimenti Fondo'!$K:$K,'Movimenti Fondo'!$B:$B,"&gt;="&amp;DATE(2026,6,1),'Movimenti Fondo'!$B:$B,"&lt;"&amp;DATE(2026,6+1,1))</f>
        <v/>
      </c>
    </row>
    <row r="9">
      <c r="A9" s="28" t="inlineStr">
        <is>
          <t>Posizioni non regolari</t>
        </is>
      </c>
      <c r="B9" s="35">
        <f>COUNTIF(Anagrafica!$K$3:$K$11,"&lt;&gt;Regolare")</f>
        <v/>
      </c>
      <c r="D9" s="31" t="inlineStr">
        <is>
          <t>Luglio</t>
        </is>
      </c>
      <c r="E9" s="48">
        <f>SUMIFS('Movimenti Fondo'!$J:$J,'Movimenti Fondo'!$B:$B,"&gt;="&amp;DATE(2026,7,1),'Movimenti Fondo'!$B:$B,"&lt;"&amp;DATE(2026,7+1,1))</f>
        <v/>
      </c>
      <c r="F9" s="48">
        <f>SUMIFS('Movimenti Fondo'!$K:$K,'Movimenti Fondo'!$B:$B,"&gt;="&amp;DATE(2026,7,1),'Movimenti Fondo'!$B:$B,"&lt;"&amp;DATE(2026,7+1,1))</f>
        <v/>
      </c>
    </row>
    <row r="10">
      <c r="A10" s="28" t="inlineStr">
        <is>
          <t>Fatture da pagare</t>
        </is>
      </c>
      <c r="B10" s="35">
        <f>COUNTIFS('Movimenti Fondo'!$K:$K,"&gt;0",'Movimenti Fondo'!$M:$M,"Da pagare")</f>
        <v/>
      </c>
    </row>
    <row r="11">
      <c r="A11" s="28" t="inlineStr">
        <is>
          <t>Media versamento per unità</t>
        </is>
      </c>
      <c r="B11" s="47">
        <f>AVERAGE(Anagrafica!$H$3:$H$11)</f>
        <v/>
      </c>
    </row>
    <row r="12">
      <c r="D12" s="26" t="inlineStr">
        <is>
          <t>Spese per categoria</t>
        </is>
      </c>
      <c r="E12" s="27" t="n"/>
    </row>
    <row r="13">
      <c r="D13" s="30" t="inlineStr">
        <is>
          <t>Categoria</t>
        </is>
      </c>
      <c r="E13" s="30" t="inlineStr">
        <is>
          <t>Importo (€)</t>
        </is>
      </c>
    </row>
    <row r="14">
      <c r="D14" s="31" t="inlineStr">
        <is>
          <t>Acconto</t>
        </is>
      </c>
      <c r="E14" s="48">
        <f>SUMIFS('Movimenti Fondo'!$K:$K,'Movimenti Fondo'!$D:$D,D14)</f>
        <v/>
      </c>
    </row>
    <row r="15">
      <c r="D15" s="31" t="inlineStr">
        <is>
          <t>SAL lavori</t>
        </is>
      </c>
      <c r="E15" s="48">
        <f>SUMIFS('Movimenti Fondo'!$K:$K,'Movimenti Fondo'!$D:$D,D15)</f>
        <v/>
      </c>
    </row>
    <row r="16">
      <c r="D16" s="31" t="inlineStr">
        <is>
          <t>Fattura</t>
        </is>
      </c>
      <c r="E16" s="48">
        <f>SUMIFS('Movimenti Fondo'!$K:$K,'Movimenti Fondo'!$D:$D,D16)</f>
        <v/>
      </c>
    </row>
    <row r="17"/>
    <row r="18"/>
    <row r="19">
      <c r="D19" s="26" t="inlineStr">
        <is>
          <t>Quote per unità</t>
        </is>
      </c>
      <c r="E19" s="27" t="n"/>
      <c r="F19" s="27" t="n"/>
      <c r="G19" s="27" t="n"/>
    </row>
    <row r="20">
      <c r="D20" s="30" t="inlineStr">
        <is>
          <t>Unità</t>
        </is>
      </c>
      <c r="E20" s="30" t="inlineStr">
        <is>
          <t>Quota deliberata (€)</t>
        </is>
      </c>
      <c r="F20" s="30" t="inlineStr">
        <is>
          <t>Versato (€)</t>
        </is>
      </c>
      <c r="G20" s="30" t="inlineStr">
        <is>
          <t>Residuo (€)</t>
        </is>
      </c>
    </row>
    <row r="21">
      <c r="D21" s="31">
        <f>Anagrafica!A3</f>
        <v/>
      </c>
      <c r="E21" s="48">
        <f>Anagrafica!G3</f>
        <v/>
      </c>
      <c r="F21" s="48">
        <f>Anagrafica!H3</f>
        <v/>
      </c>
      <c r="G21" s="48">
        <f>Anagrafica!I3</f>
        <v/>
      </c>
    </row>
    <row r="22">
      <c r="D22" s="31">
        <f>Anagrafica!A4</f>
        <v/>
      </c>
      <c r="E22" s="48">
        <f>Anagrafica!G4</f>
        <v/>
      </c>
      <c r="F22" s="48">
        <f>Anagrafica!H4</f>
        <v/>
      </c>
      <c r="G22" s="48">
        <f>Anagrafica!I4</f>
        <v/>
      </c>
    </row>
    <row r="23">
      <c r="D23" s="31">
        <f>Anagrafica!A5</f>
        <v/>
      </c>
      <c r="E23" s="48">
        <f>Anagrafica!G5</f>
        <v/>
      </c>
      <c r="F23" s="48">
        <f>Anagrafica!H5</f>
        <v/>
      </c>
      <c r="G23" s="48">
        <f>Anagrafica!I5</f>
        <v/>
      </c>
    </row>
    <row r="24">
      <c r="D24" s="31">
        <f>Anagrafica!A6</f>
        <v/>
      </c>
      <c r="E24" s="48">
        <f>Anagrafica!G6</f>
        <v/>
      </c>
      <c r="F24" s="48">
        <f>Anagrafica!H6</f>
        <v/>
      </c>
      <c r="G24" s="48">
        <f>Anagrafica!I6</f>
        <v/>
      </c>
    </row>
    <row r="25">
      <c r="D25" s="31">
        <f>Anagrafica!A7</f>
        <v/>
      </c>
      <c r="E25" s="48">
        <f>Anagrafica!G7</f>
        <v/>
      </c>
      <c r="F25" s="48">
        <f>Anagrafica!H7</f>
        <v/>
      </c>
      <c r="G25" s="48">
        <f>Anagrafica!I7</f>
        <v/>
      </c>
    </row>
    <row r="26">
      <c r="D26" s="31">
        <f>Anagrafica!A8</f>
        <v/>
      </c>
      <c r="E26" s="48">
        <f>Anagrafica!G8</f>
        <v/>
      </c>
      <c r="F26" s="48">
        <f>Anagrafica!H8</f>
        <v/>
      </c>
      <c r="G26" s="48">
        <f>Anagrafica!I8</f>
        <v/>
      </c>
    </row>
    <row r="27">
      <c r="D27" s="31">
        <f>Anagrafica!A9</f>
        <v/>
      </c>
      <c r="E27" s="48">
        <f>Anagrafica!G9</f>
        <v/>
      </c>
      <c r="F27" s="48">
        <f>Anagrafica!H9</f>
        <v/>
      </c>
      <c r="G27" s="48">
        <f>Anagrafica!I9</f>
        <v/>
      </c>
    </row>
    <row r="28">
      <c r="D28" s="31">
        <f>Anagrafica!A10</f>
        <v/>
      </c>
      <c r="E28" s="48">
        <f>Anagrafica!G10</f>
        <v/>
      </c>
      <c r="F28" s="48">
        <f>Anagrafica!H10</f>
        <v/>
      </c>
      <c r="G28" s="48">
        <f>Anagrafica!I10</f>
        <v/>
      </c>
    </row>
    <row r="29">
      <c r="D29" s="31">
        <f>Anagrafica!A11</f>
        <v/>
      </c>
      <c r="E29" s="48">
        <f>Anagrafica!G11</f>
        <v/>
      </c>
      <c r="F29" s="48">
        <f>Anagrafica!H11</f>
        <v/>
      </c>
      <c r="G29" s="48">
        <f>Anagrafica!I11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2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35" customWidth="1" min="2" max="2"/>
    <col width="35" customWidth="1" min="3" max="3"/>
    <col width="35" customWidth="1" min="4" max="4"/>
  </cols>
  <sheetData>
    <row r="1" ht="28" customHeight="1">
      <c r="A1" s="1" t="inlineStr">
        <is>
          <t>Istruzioni per l'uso del workbook</t>
        </is>
      </c>
    </row>
    <row r="2"/>
    <row r="3">
      <c r="A3" s="36" t="inlineStr">
        <is>
          <t>Cos'è il fondo speciale per lavori straordinari</t>
        </is>
      </c>
    </row>
    <row r="4" ht="45" customHeight="1">
      <c r="A4" s="37" t="inlineStr">
        <is>
          <t>Il fondo riserva lavori straordinari è un fondo cassa speciale, istituito con delibera assembleare, destinato a finanziare interventi di manutenzione straordinaria (rifacimento facciata, lastrico solare, ponteggi, ecc.). È separato dal fondo ordinario e deve essere tracciato movimento per movimento.</t>
        </is>
      </c>
    </row>
    <row r="5"/>
    <row r="6">
      <c r="A6" s="36" t="inlineStr">
        <is>
          <t>Foglio 'Movimenti Fondo'</t>
        </is>
      </c>
    </row>
    <row r="7" ht="45" customHeight="1">
      <c r="A7" s="37" t="inlineStr">
        <is>
          <t>Registra qui ogni entrata e uscita del fondo. Compila data, tipo movimento (Versamento, Spesa, Rettifica), categoria, descrizione e numero documento. Inserisci l'importo nella colonna Entrata oppure Uscita, mai in entrambe. Il proprietario e il saldo progressivo si calcolano automaticamente.</t>
        </is>
      </c>
    </row>
    <row r="8"/>
    <row r="9">
      <c r="A9" s="36" t="inlineStr">
        <is>
          <t>Foglio 'Anagrafica'</t>
        </is>
      </c>
    </row>
    <row r="10" ht="45" customHeight="1">
      <c r="A10" s="37" t="inlineStr">
        <is>
          <t>Elenca le unità immobiliari con i millesimi di proprietà. La quota deliberata di ciascun condomino è calcolata in proporzione ai millesimi sul totale del fondo deliberato (cella B14, modificabile). Importo versato, residuo e stato posizione si aggiornano automaticamente dai movimenti.</t>
        </is>
      </c>
    </row>
    <row r="11"/>
    <row r="12">
      <c r="A12" s="36" t="inlineStr">
        <is>
          <t>Versamenti, SAL e fatture</t>
        </is>
      </c>
    </row>
    <row r="13" ht="45" customHeight="1">
      <c r="A13" s="37" t="inlineStr">
        <is>
          <t>I versamenti sono le quote pagate dai condomini. I SAL (Stato Avanzamento Lavori) sono pagamenti parziali ai fornitori in base all'avanzamento dei lavori, certificati dal direttore lavori. Le fatture sono documenti fiscali definitivi. L'acconto è un pagamento anticipato prima dell'inizio lavori.</t>
        </is>
      </c>
    </row>
    <row r="14"/>
    <row r="15">
      <c r="A15" s="36" t="inlineStr">
        <is>
          <t>Controllo residuo e posizioni condominiali</t>
        </is>
      </c>
    </row>
    <row r="16" ht="45" customHeight="1">
      <c r="A16" s="37" t="inlineStr">
        <is>
          <t>La colonna 'Residuo da versare' in Anagrafica mostra quanto manca per ogni unità. Lo stato posizione indica 'Regolare', 'Parziale' o 'Non versato'. Nella Dashboard trovi il riepilogo complessivo: saldo disponibile, percentuale di incasso, posizioni morose e fatture da pagare.</t>
        </is>
      </c>
    </row>
    <row r="17"/>
    <row r="18">
      <c r="A18" s="36" t="inlineStr">
        <is>
          <t>Documentazione da verificare</t>
        </is>
      </c>
    </row>
    <row r="19" ht="45" customHeight="1">
      <c r="A19" s="37" t="inlineStr">
        <is>
          <t>Verificare sempre: delibere assembleari di approvazione lavori e riparto, preventivi dei fornitori, contratto di appalto, SAL firmati dal direttore lavori, fatture con IVA e documentazione contabile dell'amministratore. Conservare tutto per la rendicontazione annuale.</t>
        </is>
      </c>
    </row>
    <row r="20"/>
    <row r="21">
      <c r="A21" s="36" t="inlineStr">
        <is>
          <t>Celle di input</t>
        </is>
      </c>
    </row>
    <row r="22" ht="45" customHeight="1">
      <c r="A22" s="37" t="inlineStr">
        <is>
          <t>Le celle con sfondo giallo chiaro sono da compilare manualmente. Le altre contengono formule automatiche: non sovrascriverle.</t>
        </is>
      </c>
    </row>
  </sheetData>
  <mergeCells count="8">
    <mergeCell ref="A1:D1"/>
    <mergeCell ref="A4:D4"/>
    <mergeCell ref="A7:D7"/>
    <mergeCell ref="A10:D10"/>
    <mergeCell ref="A13:D13"/>
    <mergeCell ref="A16:D16"/>
    <mergeCell ref="A19:D19"/>
    <mergeCell ref="A22:D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2026-08-01T13:30:21Z</dcterms:created>
  <dcterms:modified xmlns:dcterms="http://purl.org/dc/terms/" xmlns:xsi="http://www.w3.org/2001/XMLSchema-instance" xsi:type="dcterms:W3CDTF">2026-08-01T13:30:21Z</dcterms:modified>
</cp:coreProperties>
</file>