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tture e dati" sheetId="1" state="visible" r:id="rId1"/>
    <sheet xmlns:r="http://schemas.openxmlformats.org/officeDocument/2006/relationships" name="Riparto acqua" sheetId="2" state="visible" r:id="rId2"/>
    <sheet xmlns:r="http://schemas.openxmlformats.org/officeDocument/2006/relationships" name="Dashboard e 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,00 &quot;m³&quot;"/>
    <numFmt numFmtId="165" formatCode="0,00%"/>
    <numFmt numFmtId="166" formatCode="#.##0,00 &quot;€&quot;"/>
  </numFmts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sz val="11"/>
    </font>
    <font>
      <b val="1"/>
      <sz val="11"/>
    </font>
    <font>
      <i val="1"/>
      <color rgb="00475569"/>
      <sz val="10"/>
    </font>
  </fonts>
  <fills count="7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E2E8F0"/>
      </patternFill>
    </fill>
    <fill>
      <patternFill patternType="solid">
        <fgColor rgb="00C8102E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right" vertical="center"/>
    </xf>
    <xf numFmtId="164" fontId="3" fillId="3" borderId="1" applyAlignment="1" pivotButton="0" quotePrefix="0" xfId="0">
      <alignment horizontal="right" vertical="center"/>
    </xf>
    <xf numFmtId="165" fontId="3" fillId="3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5" fontId="3" fillId="0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left" vertical="center"/>
    </xf>
    <xf numFmtId="0" fontId="4" fillId="5" borderId="1" applyAlignment="1" pivotButton="0" quotePrefix="0" xfId="0">
      <alignment horizontal="right" vertical="center"/>
    </xf>
    <xf numFmtId="164" fontId="4" fillId="5" borderId="1" applyAlignment="1" pivotButton="0" quotePrefix="0" xfId="0">
      <alignment horizontal="right" vertical="center"/>
    </xf>
    <xf numFmtId="1" fontId="4" fillId="5" borderId="1" applyAlignment="1" pivotButton="0" quotePrefix="0" xfId="0">
      <alignment horizontal="right" vertical="center"/>
    </xf>
    <xf numFmtId="165" fontId="4" fillId="5" borderId="1" applyAlignment="1" pivotButton="0" quotePrefix="0" xfId="0">
      <alignment horizontal="right" vertical="center"/>
    </xf>
    <xf numFmtId="0" fontId="2" fillId="6" borderId="0" applyAlignment="1" pivotButton="0" quotePrefix="0" xfId="0">
      <alignment horizontal="left" vertical="center"/>
    </xf>
    <xf numFmtId="0" fontId="0" fillId="6" borderId="0" pivotButton="0" quotePrefix="0" xfId="0"/>
    <xf numFmtId="0" fontId="3" fillId="4" borderId="1" applyAlignment="1" pivotButton="0" quotePrefix="0" xfId="0">
      <alignment horizontal="left" vertical="center"/>
    </xf>
    <xf numFmtId="166" fontId="3" fillId="4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right" vertical="center"/>
    </xf>
    <xf numFmtId="1" fontId="3" fillId="0" borderId="1" applyAlignment="1" pivotButton="0" quotePrefix="0" xfId="0">
      <alignment horizontal="right" vertical="center"/>
    </xf>
    <xf numFmtId="166" fontId="4" fillId="5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0" fontId="2" fillId="6" borderId="0" pivotButton="0" quotePrefix="0" xfId="0"/>
    <xf numFmtId="0" fontId="3" fillId="0" borderId="0" applyAlignment="1" pivotButton="0" quotePrefix="0" xfId="0">
      <alignment horizontal="left" vertical="center"/>
    </xf>
    <xf numFmtId="164" fontId="4" fillId="0" borderId="1" applyAlignment="1" pivotButton="0" quotePrefix="0" xfId="0">
      <alignment horizontal="right" vertical="center"/>
    </xf>
    <xf numFmtId="166" fontId="4" fillId="0" borderId="1" applyAlignment="1" pivotButton="0" quotePrefix="0" xfId="0">
      <alignment horizontal="right" vertical="center"/>
    </xf>
    <xf numFmtId="1" fontId="4" fillId="0" borderId="1" applyAlignment="1" pivotButton="0" quotePrefix="0" xfId="0">
      <alignment horizontal="right" vertical="center"/>
    </xf>
    <xf numFmtId="164" fontId="4" fillId="3" borderId="1" applyAlignment="1" pivotButton="0" quotePrefix="0" xfId="0">
      <alignment horizontal="right" vertical="center"/>
    </xf>
    <xf numFmtId="166" fontId="4" fillId="3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1" fontId="4" fillId="3" borderId="1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3" fillId="3" borderId="1" pivotButton="0" quotePrefix="0" xfId="0"/>
    <xf numFmtId="0" fontId="3" fillId="0" borderId="1" pivotButton="0" quotePrefix="0" xfId="0"/>
    <xf numFmtId="0" fontId="3" fillId="3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3">
    <dxf>
      <font>
        <b val="1"/>
        <color rgb="0016A34A"/>
        <sz val="11"/>
      </font>
      <fill>
        <patternFill patternType="solid">
          <fgColor rgb="00DCFCE7"/>
        </patternFill>
      </fill>
    </dxf>
    <dxf>
      <font>
        <b val="1"/>
        <color rgb="00DC2626"/>
        <sz val="11"/>
      </font>
      <fill>
        <patternFill patternType="solid">
          <fgColor rgb="00FEE2E2"/>
        </patternFill>
      </fill>
    </dxf>
    <dxf>
      <font>
        <b val="1"/>
        <color rgb="00A16207"/>
        <sz val="11"/>
      </font>
      <fill>
        <patternFill patternType="solid">
          <fgColor rgb="00FEF9C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Consumo per unità (m³)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 e istruzioni'!G12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'Dashboard e istruzioni'!$F$13:$F$22</f>
            </numRef>
          </cat>
          <val>
            <numRef>
              <f>'Dashboard e istruzioni'!$G$13:$G$22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Unità immobiliare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m³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Riparto quote acqua per proprietario</a:t>
            </a:r>
          </a:p>
        </rich>
      </tx>
    </title>
    <plotArea>
      <pieChart>
        <varyColors val="1"/>
        <ser>
          <idx val="0"/>
          <order val="0"/>
          <tx>
            <strRef>
              <f>'Dashboard e istruzioni'!H12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 e istruzioni'!$F$13:$F$22</f>
            </numRef>
          </cat>
          <val>
            <numRef>
              <f>'Dashboard e istruzioni'!$H$13:$H$22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Quota individuale vs quota media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'Dashboard e istruzioni'!H12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'Dashboard e istruzioni'!$F$13:$F$22</f>
            </numRef>
          </cat>
          <val>
            <numRef>
              <f>'Dashboard e istruzioni'!$H$13:$H$22</f>
            </numRef>
          </val>
        </ser>
        <ser>
          <idx val="1"/>
          <order val="1"/>
          <tx>
            <strRef>
              <f>'Dashboard e istruzioni'!I12</f>
            </strRef>
          </tx>
          <spPr>
            <a:solidFill xmlns:a="http://schemas.openxmlformats.org/drawingml/2006/main">
              <a:srgbClr val="94A3B8"/>
            </a:solidFill>
            <a:ln xmlns:a="http://schemas.openxmlformats.org/drawingml/2006/main">
              <a:prstDash val="solid"/>
            </a:ln>
          </spPr>
          <cat>
            <numRef>
              <f>'Dashboard e istruzioni'!$F$13:$F$22</f>
            </numRef>
          </cat>
          <val>
            <numRef>
              <f>'Dashboard e istruzioni'!$I$13:$I$22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Unità immobiliare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5760000" cy="30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24</row>
      <rowOff>0</rowOff>
    </from>
    <ext cx="5760000" cy="30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43</row>
      <rowOff>0</rowOff>
    </from>
    <ext cx="6480000" cy="32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9" customWidth="1" min="1" max="1"/>
    <col width="7" customWidth="1" min="2" max="2"/>
    <col width="8" customWidth="1" min="3" max="3"/>
    <col width="24" customWidth="1" min="4" max="4"/>
    <col width="24" customWidth="1" min="5" max="5"/>
    <col width="22" customWidth="1" min="6" max="6"/>
    <col width="16" customWidth="1" min="7" max="7"/>
    <col width="14" customWidth="1" min="8" max="8"/>
    <col width="14" customWidth="1" min="9" max="9"/>
    <col width="16" customWidth="1" min="10" max="10"/>
    <col width="13" customWidth="1" min="11" max="11"/>
    <col width="15" customWidth="1" min="12" max="12"/>
    <col width="15" customWidth="1" min="13" max="13"/>
    <col width="30" customWidth="1" min="14" max="14"/>
    <col width="16" customWidth="1" min="15" max="15"/>
  </cols>
  <sheetData>
    <row r="1" ht="28" customHeight="1">
      <c r="A1" s="1" t="inlineStr">
        <is>
          <t>CONDOMINIO GELSOMINO - Via Roma 12, Milano - Letture contatori acqua - Periodo 01/01/2026 - 30/06/2026</t>
        </is>
      </c>
    </row>
    <row r="2" ht="34" customHeight="1">
      <c r="A2" s="2" t="inlineStr">
        <is>
          <t>ID unità</t>
        </is>
      </c>
      <c r="B2" s="2" t="inlineStr">
        <is>
          <t>Scala</t>
        </is>
      </c>
      <c r="C2" s="2" t="inlineStr">
        <is>
          <t>Interno</t>
        </is>
      </c>
      <c r="D2" s="2" t="inlineStr">
        <is>
          <t>Proprietario</t>
        </is>
      </c>
      <c r="E2" s="2" t="inlineStr">
        <is>
          <t>Conduttore/occupante</t>
        </is>
      </c>
      <c r="F2" s="2" t="inlineStr">
        <is>
          <t>Indirizzo</t>
        </is>
      </c>
      <c r="G2" s="2" t="inlineStr">
        <is>
          <t>Matricola contatore</t>
        </is>
      </c>
      <c r="H2" s="2" t="inlineStr">
        <is>
          <t>Lettura iniziale m³</t>
        </is>
      </c>
      <c r="I2" s="2" t="inlineStr">
        <is>
          <t>Lettura finale m³</t>
        </is>
      </c>
      <c r="J2" s="2" t="inlineStr">
        <is>
          <t>Consumo individuale m³</t>
        </is>
      </c>
      <c r="K2" s="2" t="inlineStr">
        <is>
          <t>Millesimi proprietà</t>
        </is>
      </c>
      <c r="L2" s="2" t="inlineStr">
        <is>
          <t>Quota fissa millesimale %</t>
        </is>
      </c>
      <c r="M2" s="2" t="inlineStr">
        <is>
          <t>Quota variabile consumo %</t>
        </is>
      </c>
      <c r="N2" s="2" t="inlineStr">
        <is>
          <t>Note</t>
        </is>
      </c>
      <c r="O2" s="2" t="inlineStr">
        <is>
          <t>Stato lettura</t>
        </is>
      </c>
    </row>
    <row r="3">
      <c r="A3" s="3" t="n">
        <v>1</v>
      </c>
      <c r="B3" s="3" t="inlineStr">
        <is>
          <t>A</t>
        </is>
      </c>
      <c r="C3" s="3" t="n">
        <v>1</v>
      </c>
      <c r="D3" s="4" t="inlineStr">
        <is>
          <t>Marco Rossi</t>
        </is>
      </c>
      <c r="E3" s="4" t="inlineStr">
        <is>
          <t>Marco Rossi</t>
        </is>
      </c>
      <c r="F3" s="4" t="inlineStr">
        <is>
          <t>Via Roma 12, Milano</t>
        </is>
      </c>
      <c r="G3" s="4" t="inlineStr">
        <is>
          <t>ACQ-2026-001</t>
        </is>
      </c>
      <c r="H3" s="5" t="n">
        <v>125</v>
      </c>
      <c r="I3" s="5" t="n">
        <v>138</v>
      </c>
      <c r="J3" s="6">
        <f>IF(OR(H3="",I3=""),0,MAX(0,I3-H3))</f>
        <v/>
      </c>
      <c r="K3" s="5" t="n">
        <v>95</v>
      </c>
      <c r="L3" s="7">
        <f>K3/SUM($K$3:$K$12)</f>
        <v/>
      </c>
      <c r="M3" s="7">
        <f>IF(SUM($J$3:$J$12)=0,0,J3/SUM($J$3:$J$12))</f>
        <v/>
      </c>
      <c r="N3" s="4" t="inlineStr">
        <is>
          <t>Abitazione principale</t>
        </is>
      </c>
      <c r="O3" s="3">
        <f>IF(OR(H3="",I3=""),"Da verificare",IF(I3&lt;H3,"Errore lettura","OK"))</f>
        <v/>
      </c>
    </row>
    <row r="4">
      <c r="A4" s="8" t="n">
        <v>2</v>
      </c>
      <c r="B4" s="8" t="inlineStr">
        <is>
          <t>A</t>
        </is>
      </c>
      <c r="C4" s="8" t="n">
        <v>2</v>
      </c>
      <c r="D4" s="9" t="inlineStr">
        <is>
          <t>Giulia Bianchi</t>
        </is>
      </c>
      <c r="E4" s="9" t="inlineStr">
        <is>
          <t>Giulia Bianchi</t>
        </is>
      </c>
      <c r="F4" s="9" t="inlineStr">
        <is>
          <t>Via Roma 12, Milano</t>
        </is>
      </c>
      <c r="G4" s="9" t="inlineStr">
        <is>
          <t>ACQ-2026-002</t>
        </is>
      </c>
      <c r="H4" s="5" t="n">
        <v>210</v>
      </c>
      <c r="I4" s="5" t="n">
        <v>226</v>
      </c>
      <c r="J4" s="10">
        <f>IF(OR(H4="",I4=""),0,MAX(0,I4-H4))</f>
        <v/>
      </c>
      <c r="K4" s="5" t="n">
        <v>105</v>
      </c>
      <c r="L4" s="11">
        <f>K4/SUM($K$3:$K$12)</f>
        <v/>
      </c>
      <c r="M4" s="11">
        <f>IF(SUM($J$3:$J$12)=0,0,J4/SUM($J$3:$J$12))</f>
        <v/>
      </c>
      <c r="N4" s="9" t="inlineStr"/>
      <c r="O4" s="8">
        <f>IF(OR(H4="",I4=""),"Da verificare",IF(I4&lt;H4,"Errore lettura","OK"))</f>
        <v/>
      </c>
    </row>
    <row r="5">
      <c r="A5" s="3" t="n">
        <v>3</v>
      </c>
      <c r="B5" s="3" t="inlineStr">
        <is>
          <t>A</t>
        </is>
      </c>
      <c r="C5" s="3" t="n">
        <v>3</v>
      </c>
      <c r="D5" s="4" t="inlineStr">
        <is>
          <t>Luca Ferrari</t>
        </is>
      </c>
      <c r="E5" s="4" t="inlineStr">
        <is>
          <t>Mario Colombo</t>
        </is>
      </c>
      <c r="F5" s="4" t="inlineStr">
        <is>
          <t>Via Roma 12, Milano</t>
        </is>
      </c>
      <c r="G5" s="4" t="inlineStr">
        <is>
          <t>ACQ-2026-003</t>
        </is>
      </c>
      <c r="H5" s="5" t="n">
        <v>87</v>
      </c>
      <c r="I5" s="5" t="n">
        <v>99</v>
      </c>
      <c r="J5" s="6">
        <f>IF(OR(H5="",I5=""),0,MAX(0,I5-H5))</f>
        <v/>
      </c>
      <c r="K5" s="5" t="n">
        <v>90</v>
      </c>
      <c r="L5" s="7">
        <f>K5/SUM($K$3:$K$12)</f>
        <v/>
      </c>
      <c r="M5" s="7">
        <f>IF(SUM($J$3:$J$12)=0,0,J5/SUM($J$3:$J$12))</f>
        <v/>
      </c>
      <c r="N5" s="4" t="inlineStr">
        <is>
          <t>Locazione 4+4</t>
        </is>
      </c>
      <c r="O5" s="3">
        <f>IF(OR(H5="",I5=""),"Da verificare",IF(I5&lt;H5,"Errore lettura","OK"))</f>
        <v/>
      </c>
    </row>
    <row r="6">
      <c r="A6" s="8" t="n">
        <v>4</v>
      </c>
      <c r="B6" s="8" t="inlineStr">
        <is>
          <t>A</t>
        </is>
      </c>
      <c r="C6" s="8" t="n">
        <v>4</v>
      </c>
      <c r="D6" s="9" t="inlineStr">
        <is>
          <t>Anna Esposito</t>
        </is>
      </c>
      <c r="E6" s="9" t="inlineStr">
        <is>
          <t>Anna Esposito</t>
        </is>
      </c>
      <c r="F6" s="9" t="inlineStr">
        <is>
          <t>Via Roma 12, Milano</t>
        </is>
      </c>
      <c r="G6" s="9" t="inlineStr">
        <is>
          <t>ACQ-2026-004</t>
        </is>
      </c>
      <c r="H6" s="5" t="n">
        <v>302</v>
      </c>
      <c r="I6" s="5" t="n">
        <v>321</v>
      </c>
      <c r="J6" s="10">
        <f>IF(OR(H6="",I6=""),0,MAX(0,I6-H6))</f>
        <v/>
      </c>
      <c r="K6" s="5" t="n">
        <v>110</v>
      </c>
      <c r="L6" s="11">
        <f>K6/SUM($K$3:$K$12)</f>
        <v/>
      </c>
      <c r="M6" s="11">
        <f>IF(SUM($J$3:$J$12)=0,0,J6/SUM($J$3:$J$12))</f>
        <v/>
      </c>
      <c r="N6" s="9" t="inlineStr"/>
      <c r="O6" s="8">
        <f>IF(OR(H6="",I6=""),"Da verificare",IF(I6&lt;H6,"Errore lettura","OK"))</f>
        <v/>
      </c>
    </row>
    <row r="7">
      <c r="A7" s="3" t="n">
        <v>5</v>
      </c>
      <c r="B7" s="3" t="inlineStr">
        <is>
          <t>A</t>
        </is>
      </c>
      <c r="C7" s="3" t="n">
        <v>5</v>
      </c>
      <c r="D7" s="4" t="inlineStr">
        <is>
          <t>Francesca Romano</t>
        </is>
      </c>
      <c r="E7" s="4" t="inlineStr">
        <is>
          <t>Alessandro Vitale</t>
        </is>
      </c>
      <c r="F7" s="4" t="inlineStr">
        <is>
          <t>Via Roma 12, Milano</t>
        </is>
      </c>
      <c r="G7" s="4" t="inlineStr">
        <is>
          <t>ACQ-2026-005</t>
        </is>
      </c>
      <c r="H7" s="5" t="n">
        <v>156</v>
      </c>
      <c r="I7" s="5" t="n">
        <v>169</v>
      </c>
      <c r="J7" s="6">
        <f>IF(OR(H7="",I7=""),0,MAX(0,I7-H7))</f>
        <v/>
      </c>
      <c r="K7" s="5" t="n">
        <v>100</v>
      </c>
      <c r="L7" s="7">
        <f>K7/SUM($K$3:$K$12)</f>
        <v/>
      </c>
      <c r="M7" s="7">
        <f>IF(SUM($J$3:$J$12)=0,0,J7/SUM($J$3:$J$12))</f>
        <v/>
      </c>
      <c r="N7" s="4" t="inlineStr">
        <is>
          <t>Locazione transitoria</t>
        </is>
      </c>
      <c r="O7" s="3">
        <f>IF(OR(H7="",I7=""),"Da verificare",IF(I7&lt;H7,"Errore lettura","OK"))</f>
        <v/>
      </c>
    </row>
    <row r="8">
      <c r="A8" s="8" t="n">
        <v>6</v>
      </c>
      <c r="B8" s="8" t="inlineStr">
        <is>
          <t>B</t>
        </is>
      </c>
      <c r="C8" s="8" t="n">
        <v>6</v>
      </c>
      <c r="D8" s="9" t="inlineStr">
        <is>
          <t>Giuseppe Conti</t>
        </is>
      </c>
      <c r="E8" s="9" t="inlineStr">
        <is>
          <t>Giuseppe Conti</t>
        </is>
      </c>
      <c r="F8" s="9" t="inlineStr">
        <is>
          <t>Via Roma 12, Milano</t>
        </is>
      </c>
      <c r="G8" s="9" t="inlineStr">
        <is>
          <t>ACQ-2026-006</t>
        </is>
      </c>
      <c r="H8" s="5" t="n">
        <v>244</v>
      </c>
      <c r="I8" s="5" t="n">
        <v>260</v>
      </c>
      <c r="J8" s="10">
        <f>IF(OR(H8="",I8=""),0,MAX(0,I8-H8))</f>
        <v/>
      </c>
      <c r="K8" s="5" t="n">
        <v>98</v>
      </c>
      <c r="L8" s="11">
        <f>K8/SUM($K$3:$K$12)</f>
        <v/>
      </c>
      <c r="M8" s="11">
        <f>IF(SUM($J$3:$J$12)=0,0,J8/SUM($J$3:$J$12))</f>
        <v/>
      </c>
      <c r="N8" s="9" t="inlineStr"/>
      <c r="O8" s="8">
        <f>IF(OR(H8="",I8=""),"Da verificare",IF(I8&lt;H8,"Errore lettura","OK"))</f>
        <v/>
      </c>
    </row>
    <row r="9">
      <c r="A9" s="3" t="n">
        <v>7</v>
      </c>
      <c r="B9" s="3" t="inlineStr">
        <is>
          <t>B</t>
        </is>
      </c>
      <c r="C9" s="3" t="n">
        <v>7</v>
      </c>
      <c r="D9" s="4" t="inlineStr">
        <is>
          <t>Elisa Moretti</t>
        </is>
      </c>
      <c r="E9" s="4" t="inlineStr">
        <is>
          <t>Elisa Moretti</t>
        </is>
      </c>
      <c r="F9" s="4" t="inlineStr">
        <is>
          <t>Via Roma 12, Milano</t>
        </is>
      </c>
      <c r="G9" s="4" t="inlineStr">
        <is>
          <t>ACQ-2026-007</t>
        </is>
      </c>
      <c r="H9" s="5" t="n">
        <v>68</v>
      </c>
      <c r="I9" s="5" t="n">
        <v>79</v>
      </c>
      <c r="J9" s="6">
        <f>IF(OR(H9="",I9=""),0,MAX(0,I9-H9))</f>
        <v/>
      </c>
      <c r="K9" s="5" t="n">
        <v>92</v>
      </c>
      <c r="L9" s="7">
        <f>K9/SUM($K$3:$K$12)</f>
        <v/>
      </c>
      <c r="M9" s="7">
        <f>IF(SUM($J$3:$J$12)=0,0,J9/SUM($J$3:$J$12))</f>
        <v/>
      </c>
      <c r="N9" s="4" t="inlineStr">
        <is>
          <t>Seconda casa</t>
        </is>
      </c>
      <c r="O9" s="3">
        <f>IF(OR(H9="",I9=""),"Da verificare",IF(I9&lt;H9,"Errore lettura","OK"))</f>
        <v/>
      </c>
    </row>
    <row r="10">
      <c r="A10" s="8" t="n">
        <v>8</v>
      </c>
      <c r="B10" s="8" t="inlineStr">
        <is>
          <t>B</t>
        </is>
      </c>
      <c r="C10" s="8" t="n">
        <v>8</v>
      </c>
      <c r="D10" s="9" t="inlineStr">
        <is>
          <t>Roberto De Luca</t>
        </is>
      </c>
      <c r="E10" s="9" t="inlineStr">
        <is>
          <t>Laura Fontana</t>
        </is>
      </c>
      <c r="F10" s="9" t="inlineStr">
        <is>
          <t>Via Roma 12, Milano</t>
        </is>
      </c>
      <c r="G10" s="9" t="inlineStr">
        <is>
          <t>ACQ-2026-008</t>
        </is>
      </c>
      <c r="H10" s="5" t="n">
        <v>411</v>
      </c>
      <c r="I10" s="5" t="n">
        <v>430</v>
      </c>
      <c r="J10" s="10">
        <f>IF(OR(H10="",I10=""),0,MAX(0,I10-H10))</f>
        <v/>
      </c>
      <c r="K10" s="5" t="n">
        <v>115</v>
      </c>
      <c r="L10" s="11">
        <f>K10/SUM($K$3:$K$12)</f>
        <v/>
      </c>
      <c r="M10" s="11">
        <f>IF(SUM($J$3:$J$12)=0,0,J10/SUM($J$3:$J$12))</f>
        <v/>
      </c>
      <c r="N10" s="9" t="inlineStr">
        <is>
          <t>Locazione 4+4</t>
        </is>
      </c>
      <c r="O10" s="8">
        <f>IF(OR(H10="",I10=""),"Da verificare",IF(I10&lt;H10,"Errore lettura","OK"))</f>
        <v/>
      </c>
    </row>
    <row r="11">
      <c r="A11" s="3" t="n">
        <v>9</v>
      </c>
      <c r="B11" s="3" t="inlineStr">
        <is>
          <t>B</t>
        </is>
      </c>
      <c r="C11" s="3" t="n">
        <v>9</v>
      </c>
      <c r="D11" s="4" t="inlineStr">
        <is>
          <t>Sara Greco</t>
        </is>
      </c>
      <c r="E11" s="4" t="inlineStr">
        <is>
          <t>Sara Greco</t>
        </is>
      </c>
      <c r="F11" s="4" t="inlineStr">
        <is>
          <t>Via Roma 12, Milano</t>
        </is>
      </c>
      <c r="G11" s="4" t="inlineStr">
        <is>
          <t>ACQ-2026-009</t>
        </is>
      </c>
      <c r="H11" s="5" t="n">
        <v>193</v>
      </c>
      <c r="I11" s="5" t="n">
        <v>207</v>
      </c>
      <c r="J11" s="6">
        <f>IF(OR(H11="",I11=""),0,MAX(0,I11-H11))</f>
        <v/>
      </c>
      <c r="K11" s="5" t="n">
        <v>97</v>
      </c>
      <c r="L11" s="7">
        <f>K11/SUM($K$3:$K$12)</f>
        <v/>
      </c>
      <c r="M11" s="7">
        <f>IF(SUM($J$3:$J$12)=0,0,J11/SUM($J$3:$J$12))</f>
        <v/>
      </c>
      <c r="N11" s="4" t="inlineStr"/>
      <c r="O11" s="3">
        <f>IF(OR(H11="",I11=""),"Da verificare",IF(I11&lt;H11,"Errore lettura","OK"))</f>
        <v/>
      </c>
    </row>
    <row r="12">
      <c r="A12" s="8" t="n">
        <v>10</v>
      </c>
      <c r="B12" s="8" t="inlineStr">
        <is>
          <t>B</t>
        </is>
      </c>
      <c r="C12" s="8" t="n">
        <v>10</v>
      </c>
      <c r="D12" s="9" t="inlineStr">
        <is>
          <t>Immobiliare Verdi SRL</t>
        </is>
      </c>
      <c r="E12" s="9" t="inlineStr">
        <is>
          <t>Studio Tecnico Associato</t>
        </is>
      </c>
      <c r="F12" s="9" t="inlineStr">
        <is>
          <t>Via Roma 12, Milano</t>
        </is>
      </c>
      <c r="G12" s="9" t="inlineStr">
        <is>
          <t>ACQ-2026-010</t>
        </is>
      </c>
      <c r="H12" s="5" t="n">
        <v>520</v>
      </c>
      <c r="I12" s="5" t="n">
        <v>542</v>
      </c>
      <c r="J12" s="10">
        <f>IF(OR(H12="",I12=""),0,MAX(0,I12-H12))</f>
        <v/>
      </c>
      <c r="K12" s="5" t="n">
        <v>98</v>
      </c>
      <c r="L12" s="11">
        <f>K12/SUM($K$3:$K$12)</f>
        <v/>
      </c>
      <c r="M12" s="11">
        <f>IF(SUM($J$3:$J$12)=0,0,J12/SUM($J$3:$J$12))</f>
        <v/>
      </c>
      <c r="N12" s="9" t="inlineStr">
        <is>
          <t>Ufficio - P.IVA 01234567890</t>
        </is>
      </c>
      <c r="O12" s="8">
        <f>IF(OR(H12="",I12=""),"Da verificare",IF(I12&lt;H12,"Errore lettura","OK"))</f>
        <v/>
      </c>
    </row>
    <row r="13">
      <c r="A13" s="12" t="inlineStr">
        <is>
          <t>TOTALE</t>
        </is>
      </c>
      <c r="B13" s="12" t="n"/>
      <c r="C13" s="12" t="n"/>
      <c r="D13" s="12" t="n"/>
      <c r="E13" s="12" t="n"/>
      <c r="F13" s="12" t="n"/>
      <c r="G13" s="12" t="n"/>
      <c r="H13" s="13" t="n"/>
      <c r="I13" s="13" t="n"/>
      <c r="J13" s="14">
        <f>SUM(J3:J12)</f>
        <v/>
      </c>
      <c r="K13" s="15">
        <f>SUM(K3:K12)</f>
        <v/>
      </c>
      <c r="L13" s="16">
        <f>SUM(L3:L12)</f>
        <v/>
      </c>
      <c r="M13" s="16">
        <f>SUM(M3:M12)</f>
        <v/>
      </c>
      <c r="N13" s="13" t="n"/>
      <c r="O13" s="13" t="n"/>
    </row>
  </sheetData>
  <mergeCells count="1">
    <mergeCell ref="A1:O1"/>
  </mergeCells>
  <conditionalFormatting sqref="O3:O12">
    <cfRule type="cellIs" priority="1" operator="equal" dxfId="0">
      <formula>"OK"</formula>
    </cfRule>
    <cfRule type="cellIs" priority="2" operator="equal" dxfId="1">
      <formula>"Errore lettura"</formula>
    </cfRule>
    <cfRule type="cellIs" priority="3" operator="equal" dxfId="2">
      <formula>"Da verificare"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34" customWidth="1" min="1" max="1"/>
    <col width="24" customWidth="1" min="2" max="2"/>
    <col width="16" customWidth="1" min="3" max="3"/>
    <col width="13" customWidth="1" min="4" max="4"/>
    <col width="15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5" customWidth="1" min="11" max="11"/>
  </cols>
  <sheetData>
    <row r="1" ht="28" customHeight="1">
      <c r="A1" s="1" t="inlineStr">
        <is>
          <t>RIPARTO SPESE ACQUA - Condominio Gelsomino, Via Roma 12, Milano - Periodo 01/01/2026 - 30/06/2026</t>
        </is>
      </c>
    </row>
    <row r="2"/>
    <row r="3">
      <c r="A3" s="17" t="inlineStr">
        <is>
          <t>PARAMETRI DI RIPARTO</t>
        </is>
      </c>
      <c r="B3" s="18" t="n"/>
      <c r="C3" s="18" t="n"/>
      <c r="D3" s="18" t="n"/>
      <c r="E3" s="18" t="n"/>
      <c r="F3" s="18" t="n"/>
      <c r="G3" s="18" t="n"/>
      <c r="H3" s="18" t="n"/>
      <c r="I3" s="18" t="n"/>
      <c r="J3" s="18" t="n"/>
      <c r="K3" s="18" t="n"/>
    </row>
    <row r="4">
      <c r="A4" s="9" t="inlineStr">
        <is>
          <t>Periodo di riferimento</t>
        </is>
      </c>
      <c r="B4" s="19" t="inlineStr">
        <is>
          <t>01/01/2026 - 30/06/2026</t>
        </is>
      </c>
    </row>
    <row r="5">
      <c r="A5" s="9" t="inlineStr">
        <is>
          <t>Costo acqua da gestore</t>
        </is>
      </c>
      <c r="B5" s="20" t="n">
        <v>1248</v>
      </c>
    </row>
    <row r="6">
      <c r="A6" s="9" t="inlineStr">
        <is>
          <t>Canone fisso / quote fisse</t>
        </is>
      </c>
      <c r="B6" s="20" t="n">
        <v>180</v>
      </c>
    </row>
    <row r="7">
      <c r="A7" s="9" t="inlineStr">
        <is>
          <t>Spese lettura e gestione</t>
        </is>
      </c>
      <c r="B7" s="20" t="n">
        <v>120</v>
      </c>
    </row>
    <row r="8">
      <c r="A8" s="9" t="inlineStr">
        <is>
          <t>Consumo complessivo rilevato</t>
        </is>
      </c>
      <c r="B8" s="10">
        <f>SUM('Letture e dati'!J3:J12)</f>
        <v/>
      </c>
    </row>
    <row r="9">
      <c r="A9" s="9" t="inlineStr">
        <is>
          <t>Percentuale riparto a consumo</t>
        </is>
      </c>
      <c r="B9" s="21" t="n">
        <v>0.7</v>
      </c>
    </row>
    <row r="10">
      <c r="A10" s="9" t="inlineStr">
        <is>
          <t>Percentuale riparto millesimale</t>
        </is>
      </c>
      <c r="B10" s="21" t="n">
        <v>0.3</v>
      </c>
    </row>
    <row r="11">
      <c r="A11" s="9" t="inlineStr">
        <is>
          <t>Totale millesimi</t>
        </is>
      </c>
      <c r="B11" s="22">
        <f>SUM('Letture e dati'!K3:K12)</f>
        <v/>
      </c>
    </row>
    <row r="12">
      <c r="A12" s="12" t="inlineStr">
        <is>
          <t>Costo totale da ripartire</t>
        </is>
      </c>
      <c r="B12" s="23">
        <f>B5+B6+B7</f>
        <v/>
      </c>
    </row>
    <row r="13"/>
    <row r="14" ht="32" customHeight="1">
      <c r="A14" s="2" t="inlineStr">
        <is>
          <t>ID unità</t>
        </is>
      </c>
      <c r="B14" s="2" t="inlineStr">
        <is>
          <t>Proprietario</t>
        </is>
      </c>
      <c r="C14" s="2" t="inlineStr">
        <is>
          <t>Consumo individuale m³</t>
        </is>
      </c>
      <c r="D14" s="2" t="inlineStr">
        <is>
          <t>Quota consumo %</t>
        </is>
      </c>
      <c r="E14" s="2" t="inlineStr">
        <is>
          <t>Quota millesimale %</t>
        </is>
      </c>
      <c r="F14" s="2" t="inlineStr">
        <is>
          <t>Quota variabile consumo</t>
        </is>
      </c>
      <c r="G14" s="2" t="inlineStr">
        <is>
          <t>Quota fissa millesimale</t>
        </is>
      </c>
      <c r="H14" s="2" t="inlineStr">
        <is>
          <t>Totale quota acqua</t>
        </is>
      </c>
      <c r="I14" s="2" t="inlineStr">
        <is>
          <t>Importo arrotondato</t>
        </is>
      </c>
      <c r="J14" s="2" t="inlineStr">
        <is>
          <t>Scostamento da media</t>
        </is>
      </c>
      <c r="K14" s="2" t="inlineStr">
        <is>
          <t>Esito</t>
        </is>
      </c>
    </row>
    <row r="15">
      <c r="A15" s="3" t="n">
        <v>1</v>
      </c>
      <c r="B15" s="4">
        <f>IFERROR(VLOOKUP(A15,'Letture e dati'!$A$3:$O$12,4,FALSE),"")</f>
        <v/>
      </c>
      <c r="C15" s="6">
        <f>IFERROR(VLOOKUP(A15,'Letture e dati'!$A$3:$O$12,10,FALSE),0)</f>
        <v/>
      </c>
      <c r="D15" s="7">
        <f>IF(SUM($C$15:$C$24)=0,0,C15/SUM($C$15:$C$24))</f>
        <v/>
      </c>
      <c r="E15" s="7">
        <f>IF($B$11=0,0,IFERROR(VLOOKUP(A15,'Letture e dati'!$A$3:$O$12,11,FALSE),0)/$B$11)</f>
        <v/>
      </c>
      <c r="F15" s="24">
        <f>D15*$B$12*$B$9</f>
        <v/>
      </c>
      <c r="G15" s="24">
        <f>E15*$B$12*$B$10</f>
        <v/>
      </c>
      <c r="H15" s="24">
        <f>F15+G15</f>
        <v/>
      </c>
      <c r="I15" s="24">
        <f>ROUND(H15,2)</f>
        <v/>
      </c>
      <c r="J15" s="24">
        <f>H15-AVERAGE($H$15:$H$24)</f>
        <v/>
      </c>
      <c r="K15" s="3">
        <f>IF(H15&gt;AVERAGE($H$15:$H$24)*1.25,"Quota elevata",IF(H15&lt;AVERAGE($H$15:$H$24)*0.75,"Quota ridotta","Nella media"))</f>
        <v/>
      </c>
    </row>
    <row r="16">
      <c r="A16" s="8" t="n">
        <v>2</v>
      </c>
      <c r="B16" s="9">
        <f>IFERROR(VLOOKUP(A16,'Letture e dati'!$A$3:$O$12,4,FALSE),"")</f>
        <v/>
      </c>
      <c r="C16" s="10">
        <f>IFERROR(VLOOKUP(A16,'Letture e dati'!$A$3:$O$12,10,FALSE),0)</f>
        <v/>
      </c>
      <c r="D16" s="11">
        <f>IF(SUM($C$15:$C$24)=0,0,C16/SUM($C$15:$C$24))</f>
        <v/>
      </c>
      <c r="E16" s="11">
        <f>IF($B$11=0,0,IFERROR(VLOOKUP(A16,'Letture e dati'!$A$3:$O$12,11,FALSE),0)/$B$11)</f>
        <v/>
      </c>
      <c r="F16" s="25">
        <f>D16*$B$12*$B$9</f>
        <v/>
      </c>
      <c r="G16" s="25">
        <f>E16*$B$12*$B$10</f>
        <v/>
      </c>
      <c r="H16" s="25">
        <f>F16+G16</f>
        <v/>
      </c>
      <c r="I16" s="25">
        <f>ROUND(H16,2)</f>
        <v/>
      </c>
      <c r="J16" s="25">
        <f>H16-AVERAGE($H$15:$H$24)</f>
        <v/>
      </c>
      <c r="K16" s="8">
        <f>IF(H16&gt;AVERAGE($H$15:$H$24)*1.25,"Quota elevata",IF(H16&lt;AVERAGE($H$15:$H$24)*0.75,"Quota ridotta","Nella media"))</f>
        <v/>
      </c>
    </row>
    <row r="17">
      <c r="A17" s="3" t="n">
        <v>3</v>
      </c>
      <c r="B17" s="4">
        <f>IFERROR(VLOOKUP(A17,'Letture e dati'!$A$3:$O$12,4,FALSE),"")</f>
        <v/>
      </c>
      <c r="C17" s="6">
        <f>IFERROR(VLOOKUP(A17,'Letture e dati'!$A$3:$O$12,10,FALSE),0)</f>
        <v/>
      </c>
      <c r="D17" s="7">
        <f>IF(SUM($C$15:$C$24)=0,0,C17/SUM($C$15:$C$24))</f>
        <v/>
      </c>
      <c r="E17" s="7">
        <f>IF($B$11=0,0,IFERROR(VLOOKUP(A17,'Letture e dati'!$A$3:$O$12,11,FALSE),0)/$B$11)</f>
        <v/>
      </c>
      <c r="F17" s="24">
        <f>D17*$B$12*$B$9</f>
        <v/>
      </c>
      <c r="G17" s="24">
        <f>E17*$B$12*$B$10</f>
        <v/>
      </c>
      <c r="H17" s="24">
        <f>F17+G17</f>
        <v/>
      </c>
      <c r="I17" s="24">
        <f>ROUND(H17,2)</f>
        <v/>
      </c>
      <c r="J17" s="24">
        <f>H17-AVERAGE($H$15:$H$24)</f>
        <v/>
      </c>
      <c r="K17" s="3">
        <f>IF(H17&gt;AVERAGE($H$15:$H$24)*1.25,"Quota elevata",IF(H17&lt;AVERAGE($H$15:$H$24)*0.75,"Quota ridotta","Nella media"))</f>
        <v/>
      </c>
    </row>
    <row r="18">
      <c r="A18" s="8" t="n">
        <v>4</v>
      </c>
      <c r="B18" s="9">
        <f>IFERROR(VLOOKUP(A18,'Letture e dati'!$A$3:$O$12,4,FALSE),"")</f>
        <v/>
      </c>
      <c r="C18" s="10">
        <f>IFERROR(VLOOKUP(A18,'Letture e dati'!$A$3:$O$12,10,FALSE),0)</f>
        <v/>
      </c>
      <c r="D18" s="11">
        <f>IF(SUM($C$15:$C$24)=0,0,C18/SUM($C$15:$C$24))</f>
        <v/>
      </c>
      <c r="E18" s="11">
        <f>IF($B$11=0,0,IFERROR(VLOOKUP(A18,'Letture e dati'!$A$3:$O$12,11,FALSE),0)/$B$11)</f>
        <v/>
      </c>
      <c r="F18" s="25">
        <f>D18*$B$12*$B$9</f>
        <v/>
      </c>
      <c r="G18" s="25">
        <f>E18*$B$12*$B$10</f>
        <v/>
      </c>
      <c r="H18" s="25">
        <f>F18+G18</f>
        <v/>
      </c>
      <c r="I18" s="25">
        <f>ROUND(H18,2)</f>
        <v/>
      </c>
      <c r="J18" s="25">
        <f>H18-AVERAGE($H$15:$H$24)</f>
        <v/>
      </c>
      <c r="K18" s="8">
        <f>IF(H18&gt;AVERAGE($H$15:$H$24)*1.25,"Quota elevata",IF(H18&lt;AVERAGE($H$15:$H$24)*0.75,"Quota ridotta","Nella media"))</f>
        <v/>
      </c>
    </row>
    <row r="19">
      <c r="A19" s="3" t="n">
        <v>5</v>
      </c>
      <c r="B19" s="4">
        <f>IFERROR(VLOOKUP(A19,'Letture e dati'!$A$3:$O$12,4,FALSE),"")</f>
        <v/>
      </c>
      <c r="C19" s="6">
        <f>IFERROR(VLOOKUP(A19,'Letture e dati'!$A$3:$O$12,10,FALSE),0)</f>
        <v/>
      </c>
      <c r="D19" s="7">
        <f>IF(SUM($C$15:$C$24)=0,0,C19/SUM($C$15:$C$24))</f>
        <v/>
      </c>
      <c r="E19" s="7">
        <f>IF($B$11=0,0,IFERROR(VLOOKUP(A19,'Letture e dati'!$A$3:$O$12,11,FALSE),0)/$B$11)</f>
        <v/>
      </c>
      <c r="F19" s="24">
        <f>D19*$B$12*$B$9</f>
        <v/>
      </c>
      <c r="G19" s="24">
        <f>E19*$B$12*$B$10</f>
        <v/>
      </c>
      <c r="H19" s="24">
        <f>F19+G19</f>
        <v/>
      </c>
      <c r="I19" s="24">
        <f>ROUND(H19,2)</f>
        <v/>
      </c>
      <c r="J19" s="24">
        <f>H19-AVERAGE($H$15:$H$24)</f>
        <v/>
      </c>
      <c r="K19" s="3">
        <f>IF(H19&gt;AVERAGE($H$15:$H$24)*1.25,"Quota elevata",IF(H19&lt;AVERAGE($H$15:$H$24)*0.75,"Quota ridotta","Nella media"))</f>
        <v/>
      </c>
    </row>
    <row r="20">
      <c r="A20" s="8" t="n">
        <v>6</v>
      </c>
      <c r="B20" s="9">
        <f>IFERROR(VLOOKUP(A20,'Letture e dati'!$A$3:$O$12,4,FALSE),"")</f>
        <v/>
      </c>
      <c r="C20" s="10">
        <f>IFERROR(VLOOKUP(A20,'Letture e dati'!$A$3:$O$12,10,FALSE),0)</f>
        <v/>
      </c>
      <c r="D20" s="11">
        <f>IF(SUM($C$15:$C$24)=0,0,C20/SUM($C$15:$C$24))</f>
        <v/>
      </c>
      <c r="E20" s="11">
        <f>IF($B$11=0,0,IFERROR(VLOOKUP(A20,'Letture e dati'!$A$3:$O$12,11,FALSE),0)/$B$11)</f>
        <v/>
      </c>
      <c r="F20" s="25">
        <f>D20*$B$12*$B$9</f>
        <v/>
      </c>
      <c r="G20" s="25">
        <f>E20*$B$12*$B$10</f>
        <v/>
      </c>
      <c r="H20" s="25">
        <f>F20+G20</f>
        <v/>
      </c>
      <c r="I20" s="25">
        <f>ROUND(H20,2)</f>
        <v/>
      </c>
      <c r="J20" s="25">
        <f>H20-AVERAGE($H$15:$H$24)</f>
        <v/>
      </c>
      <c r="K20" s="8">
        <f>IF(H20&gt;AVERAGE($H$15:$H$24)*1.25,"Quota elevata",IF(H20&lt;AVERAGE($H$15:$H$24)*0.75,"Quota ridotta","Nella media"))</f>
        <v/>
      </c>
    </row>
    <row r="21">
      <c r="A21" s="3" t="n">
        <v>7</v>
      </c>
      <c r="B21" s="4">
        <f>IFERROR(VLOOKUP(A21,'Letture e dati'!$A$3:$O$12,4,FALSE),"")</f>
        <v/>
      </c>
      <c r="C21" s="6">
        <f>IFERROR(VLOOKUP(A21,'Letture e dati'!$A$3:$O$12,10,FALSE),0)</f>
        <v/>
      </c>
      <c r="D21" s="7">
        <f>IF(SUM($C$15:$C$24)=0,0,C21/SUM($C$15:$C$24))</f>
        <v/>
      </c>
      <c r="E21" s="7">
        <f>IF($B$11=0,0,IFERROR(VLOOKUP(A21,'Letture e dati'!$A$3:$O$12,11,FALSE),0)/$B$11)</f>
        <v/>
      </c>
      <c r="F21" s="24">
        <f>D21*$B$12*$B$9</f>
        <v/>
      </c>
      <c r="G21" s="24">
        <f>E21*$B$12*$B$10</f>
        <v/>
      </c>
      <c r="H21" s="24">
        <f>F21+G21</f>
        <v/>
      </c>
      <c r="I21" s="24">
        <f>ROUND(H21,2)</f>
        <v/>
      </c>
      <c r="J21" s="24">
        <f>H21-AVERAGE($H$15:$H$24)</f>
        <v/>
      </c>
      <c r="K21" s="3">
        <f>IF(H21&gt;AVERAGE($H$15:$H$24)*1.25,"Quota elevata",IF(H21&lt;AVERAGE($H$15:$H$24)*0.75,"Quota ridotta","Nella media"))</f>
        <v/>
      </c>
    </row>
    <row r="22">
      <c r="A22" s="8" t="n">
        <v>8</v>
      </c>
      <c r="B22" s="9">
        <f>IFERROR(VLOOKUP(A22,'Letture e dati'!$A$3:$O$12,4,FALSE),"")</f>
        <v/>
      </c>
      <c r="C22" s="10">
        <f>IFERROR(VLOOKUP(A22,'Letture e dati'!$A$3:$O$12,10,FALSE),0)</f>
        <v/>
      </c>
      <c r="D22" s="11">
        <f>IF(SUM($C$15:$C$24)=0,0,C22/SUM($C$15:$C$24))</f>
        <v/>
      </c>
      <c r="E22" s="11">
        <f>IF($B$11=0,0,IFERROR(VLOOKUP(A22,'Letture e dati'!$A$3:$O$12,11,FALSE),0)/$B$11)</f>
        <v/>
      </c>
      <c r="F22" s="25">
        <f>D22*$B$12*$B$9</f>
        <v/>
      </c>
      <c r="G22" s="25">
        <f>E22*$B$12*$B$10</f>
        <v/>
      </c>
      <c r="H22" s="25">
        <f>F22+G22</f>
        <v/>
      </c>
      <c r="I22" s="25">
        <f>ROUND(H22,2)</f>
        <v/>
      </c>
      <c r="J22" s="25">
        <f>H22-AVERAGE($H$15:$H$24)</f>
        <v/>
      </c>
      <c r="K22" s="8">
        <f>IF(H22&gt;AVERAGE($H$15:$H$24)*1.25,"Quota elevata",IF(H22&lt;AVERAGE($H$15:$H$24)*0.75,"Quota ridotta","Nella media"))</f>
        <v/>
      </c>
    </row>
    <row r="23">
      <c r="A23" s="3" t="n">
        <v>9</v>
      </c>
      <c r="B23" s="4">
        <f>IFERROR(VLOOKUP(A23,'Letture e dati'!$A$3:$O$12,4,FALSE),"")</f>
        <v/>
      </c>
      <c r="C23" s="6">
        <f>IFERROR(VLOOKUP(A23,'Letture e dati'!$A$3:$O$12,10,FALSE),0)</f>
        <v/>
      </c>
      <c r="D23" s="7">
        <f>IF(SUM($C$15:$C$24)=0,0,C23/SUM($C$15:$C$24))</f>
        <v/>
      </c>
      <c r="E23" s="7">
        <f>IF($B$11=0,0,IFERROR(VLOOKUP(A23,'Letture e dati'!$A$3:$O$12,11,FALSE),0)/$B$11)</f>
        <v/>
      </c>
      <c r="F23" s="24">
        <f>D23*$B$12*$B$9</f>
        <v/>
      </c>
      <c r="G23" s="24">
        <f>E23*$B$12*$B$10</f>
        <v/>
      </c>
      <c r="H23" s="24">
        <f>F23+G23</f>
        <v/>
      </c>
      <c r="I23" s="24">
        <f>ROUND(H23,2)</f>
        <v/>
      </c>
      <c r="J23" s="24">
        <f>H23-AVERAGE($H$15:$H$24)</f>
        <v/>
      </c>
      <c r="K23" s="3">
        <f>IF(H23&gt;AVERAGE($H$15:$H$24)*1.25,"Quota elevata",IF(H23&lt;AVERAGE($H$15:$H$24)*0.75,"Quota ridotta","Nella media"))</f>
        <v/>
      </c>
    </row>
    <row r="24">
      <c r="A24" s="8" t="n">
        <v>10</v>
      </c>
      <c r="B24" s="9">
        <f>IFERROR(VLOOKUP(A24,'Letture e dati'!$A$3:$O$12,4,FALSE),"")</f>
        <v/>
      </c>
      <c r="C24" s="10">
        <f>IFERROR(VLOOKUP(A24,'Letture e dati'!$A$3:$O$12,10,FALSE),0)</f>
        <v/>
      </c>
      <c r="D24" s="11">
        <f>IF(SUM($C$15:$C$24)=0,0,C24/SUM($C$15:$C$24))</f>
        <v/>
      </c>
      <c r="E24" s="11">
        <f>IF($B$11=0,0,IFERROR(VLOOKUP(A24,'Letture e dati'!$A$3:$O$12,11,FALSE),0)/$B$11)</f>
        <v/>
      </c>
      <c r="F24" s="25">
        <f>D24*$B$12*$B$9</f>
        <v/>
      </c>
      <c r="G24" s="25">
        <f>E24*$B$12*$B$10</f>
        <v/>
      </c>
      <c r="H24" s="25">
        <f>F24+G24</f>
        <v/>
      </c>
      <c r="I24" s="25">
        <f>ROUND(H24,2)</f>
        <v/>
      </c>
      <c r="J24" s="25">
        <f>H24-AVERAGE($H$15:$H$24)</f>
        <v/>
      </c>
      <c r="K24" s="8">
        <f>IF(H24&gt;AVERAGE($H$15:$H$24)*1.25,"Quota elevata",IF(H24&lt;AVERAGE($H$15:$H$24)*0.75,"Quota ridotta","Nella media"))</f>
        <v/>
      </c>
    </row>
    <row r="25">
      <c r="A25" s="12" t="inlineStr">
        <is>
          <t>TOTALE</t>
        </is>
      </c>
      <c r="B25" s="12" t="n"/>
      <c r="C25" s="14">
        <f>SUM(C15:C24)</f>
        <v/>
      </c>
      <c r="D25" s="13" t="n"/>
      <c r="E25" s="13" t="n"/>
      <c r="F25" s="23">
        <f>SUM(F15:F24)</f>
        <v/>
      </c>
      <c r="G25" s="23">
        <f>SUM(G15:G24)</f>
        <v/>
      </c>
      <c r="H25" s="23">
        <f>SUM(H15:H24)</f>
        <v/>
      </c>
      <c r="I25" s="23">
        <f>SUM(I15:I24)</f>
        <v/>
      </c>
      <c r="J25" s="13" t="n"/>
      <c r="K25" s="13" t="n"/>
    </row>
    <row r="26"/>
    <row r="27">
      <c r="A27" s="26" t="inlineStr">
        <is>
          <t>INDICATORI RIEPILOGATIVI</t>
        </is>
      </c>
      <c r="B27" s="18" t="n"/>
      <c r="C27" s="18" t="n"/>
      <c r="D27" s="18" t="n"/>
      <c r="E27" s="18" t="n"/>
      <c r="F27" s="18" t="n"/>
      <c r="G27" s="18" t="n"/>
      <c r="H27" s="18" t="n"/>
      <c r="I27" s="18" t="n"/>
      <c r="J27" s="18" t="n"/>
      <c r="K27" s="18" t="n"/>
    </row>
    <row r="28">
      <c r="A28" s="39" t="inlineStr">
        <is>
          <t>Totale m³ consumati</t>
        </is>
      </c>
      <c r="D28" s="28">
        <f>SUM(C15:C24)</f>
        <v/>
      </c>
    </row>
    <row r="29">
      <c r="A29" s="39" t="inlineStr">
        <is>
          <t>Consumo medio per unità</t>
        </is>
      </c>
      <c r="D29" s="28">
        <f>AVERAGE(C15:C24)</f>
        <v/>
      </c>
    </row>
    <row r="30">
      <c r="A30" s="39" t="inlineStr">
        <is>
          <t>Quota media per unità</t>
        </is>
      </c>
      <c r="D30" s="29">
        <f>AVERAGE(H15:H24)</f>
        <v/>
      </c>
    </row>
    <row r="31">
      <c r="A31" s="39" t="inlineStr">
        <is>
          <t>Numero di quote elevate</t>
        </is>
      </c>
      <c r="D31" s="30">
        <f>COUNTIF($K$15:$K$24,"Quota elevata")</f>
        <v/>
      </c>
    </row>
  </sheetData>
  <mergeCells count="1">
    <mergeCell ref="A1:K1"/>
  </mergeCells>
  <conditionalFormatting sqref="K15:K24">
    <cfRule type="cellIs" priority="1" operator="equal" dxfId="1">
      <formula>"Quota elevata"</formula>
    </cfRule>
    <cfRule type="cellIs" priority="2" operator="equal" dxfId="0">
      <formula>"Quota ridotta"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71"/>
  <sheetViews>
    <sheetView workbookViewId="0">
      <selection activeCell="A1" sqref="A1"/>
    </sheetView>
  </sheetViews>
  <sheetFormatPr baseColWidth="8" defaultRowHeight="15"/>
  <cols>
    <col width="42" customWidth="1" min="1" max="1"/>
    <col width="22" customWidth="1" min="2" max="2"/>
    <col width="12" customWidth="1" min="3" max="3"/>
    <col width="12" customWidth="1" min="4" max="4"/>
    <col width="4" customWidth="1" min="5" max="5"/>
    <col width="26" customWidth="1" min="6" max="6"/>
    <col width="14" customWidth="1" min="7" max="7"/>
    <col width="16" customWidth="1" min="8" max="8"/>
    <col width="16" customWidth="1" min="9" max="9"/>
  </cols>
  <sheetData>
    <row r="1" ht="28" customHeight="1">
      <c r="A1" s="1" t="inlineStr">
        <is>
          <t>DASHBOARD CONSUMI ACQUA - Condominio Gelsomino, Via Roma 12, Milano</t>
        </is>
      </c>
    </row>
    <row r="2"/>
    <row r="3">
      <c r="A3" s="17" t="inlineStr">
        <is>
          <t>INDICATORI CHIAVE</t>
        </is>
      </c>
      <c r="B3" s="18" t="n"/>
    </row>
    <row r="4">
      <c r="A4" s="4" t="inlineStr">
        <is>
          <t>Totale consumo condominiale</t>
        </is>
      </c>
      <c r="B4" s="31">
        <f>SUM('Letture e dati'!J3:J12)</f>
        <v/>
      </c>
    </row>
    <row r="5">
      <c r="A5" s="9" t="inlineStr">
        <is>
          <t>Costo totale acqua</t>
        </is>
      </c>
      <c r="B5" s="29">
        <f>'Riparto acqua'!B12</f>
        <v/>
      </c>
    </row>
    <row r="6">
      <c r="A6" s="4" t="inlineStr">
        <is>
          <t>Quota media per unità</t>
        </is>
      </c>
      <c r="B6" s="32">
        <f>AVERAGE('Riparto acqua'!H15:H24)</f>
        <v/>
      </c>
    </row>
    <row r="7">
      <c r="A7" s="9" t="inlineStr">
        <is>
          <t>Unità con consumo maggiore</t>
        </is>
      </c>
      <c r="B7" s="33">
        <f>INDEX('Letture e dati'!D3:D12,MATCH(MAX('Letture e dati'!J3:J12),'Letture e dati'!J3:J12,0))</f>
        <v/>
      </c>
    </row>
    <row r="8">
      <c r="A8" s="4" t="inlineStr">
        <is>
          <t>Numero di letture da verificare</t>
        </is>
      </c>
      <c r="B8" s="34">
        <f>COUNTIF('Letture e dati'!O3:O12,"Da verificare")</f>
        <v/>
      </c>
    </row>
    <row r="9"/>
    <row r="10">
      <c r="A10" s="35" t="inlineStr">
        <is>
          <t>Nota metodologica: riparto misto 70% a consumo effettivo e 30% secondo millesimi di proprietà, modificabile dall'amministratore nel foglio 'Riparto acqua'.</t>
        </is>
      </c>
    </row>
    <row r="11"/>
    <row r="12">
      <c r="F12" s="2" t="inlineStr">
        <is>
          <t>Proprietario</t>
        </is>
      </c>
      <c r="G12" s="2" t="inlineStr">
        <is>
          <t>Consumo m³</t>
        </is>
      </c>
      <c r="H12" s="2" t="inlineStr">
        <is>
          <t>Quota acqua</t>
        </is>
      </c>
      <c r="I12" s="2" t="inlineStr">
        <is>
          <t>Quota media</t>
        </is>
      </c>
    </row>
    <row r="13">
      <c r="F13" s="36">
        <f>'Riparto acqua'!B15</f>
        <v/>
      </c>
      <c r="G13" s="6">
        <f>'Riparto acqua'!C15</f>
        <v/>
      </c>
      <c r="H13" s="24">
        <f>'Riparto acqua'!H15</f>
        <v/>
      </c>
      <c r="I13" s="24">
        <f>AVERAGE('Riparto acqua'!$H$15:$H$24)</f>
        <v/>
      </c>
    </row>
    <row r="14">
      <c r="F14" s="37">
        <f>'Riparto acqua'!B16</f>
        <v/>
      </c>
      <c r="G14" s="10">
        <f>'Riparto acqua'!C16</f>
        <v/>
      </c>
      <c r="H14" s="25">
        <f>'Riparto acqua'!H16</f>
        <v/>
      </c>
      <c r="I14" s="25">
        <f>AVERAGE('Riparto acqua'!$H$15:$H$24)</f>
        <v/>
      </c>
    </row>
    <row r="15">
      <c r="F15" s="36">
        <f>'Riparto acqua'!B17</f>
        <v/>
      </c>
      <c r="G15" s="6">
        <f>'Riparto acqua'!C17</f>
        <v/>
      </c>
      <c r="H15" s="24">
        <f>'Riparto acqua'!H17</f>
        <v/>
      </c>
      <c r="I15" s="24">
        <f>AVERAGE('Riparto acqua'!$H$15:$H$24)</f>
        <v/>
      </c>
    </row>
    <row r="16">
      <c r="F16" s="37">
        <f>'Riparto acqua'!B18</f>
        <v/>
      </c>
      <c r="G16" s="10">
        <f>'Riparto acqua'!C18</f>
        <v/>
      </c>
      <c r="H16" s="25">
        <f>'Riparto acqua'!H18</f>
        <v/>
      </c>
      <c r="I16" s="25">
        <f>AVERAGE('Riparto acqua'!$H$15:$H$24)</f>
        <v/>
      </c>
    </row>
    <row r="17">
      <c r="F17" s="36">
        <f>'Riparto acqua'!B19</f>
        <v/>
      </c>
      <c r="G17" s="6">
        <f>'Riparto acqua'!C19</f>
        <v/>
      </c>
      <c r="H17" s="24">
        <f>'Riparto acqua'!H19</f>
        <v/>
      </c>
      <c r="I17" s="24">
        <f>AVERAGE('Riparto acqua'!$H$15:$H$24)</f>
        <v/>
      </c>
    </row>
    <row r="18">
      <c r="F18" s="37">
        <f>'Riparto acqua'!B20</f>
        <v/>
      </c>
      <c r="G18" s="10">
        <f>'Riparto acqua'!C20</f>
        <v/>
      </c>
      <c r="H18" s="25">
        <f>'Riparto acqua'!H20</f>
        <v/>
      </c>
      <c r="I18" s="25">
        <f>AVERAGE('Riparto acqua'!$H$15:$H$24)</f>
        <v/>
      </c>
    </row>
    <row r="19">
      <c r="F19" s="36">
        <f>'Riparto acqua'!B21</f>
        <v/>
      </c>
      <c r="G19" s="6">
        <f>'Riparto acqua'!C21</f>
        <v/>
      </c>
      <c r="H19" s="24">
        <f>'Riparto acqua'!H21</f>
        <v/>
      </c>
      <c r="I19" s="24">
        <f>AVERAGE('Riparto acqua'!$H$15:$H$24)</f>
        <v/>
      </c>
    </row>
    <row r="20">
      <c r="F20" s="37">
        <f>'Riparto acqua'!B22</f>
        <v/>
      </c>
      <c r="G20" s="10">
        <f>'Riparto acqua'!C22</f>
        <v/>
      </c>
      <c r="H20" s="25">
        <f>'Riparto acqua'!H22</f>
        <v/>
      </c>
      <c r="I20" s="25">
        <f>AVERAGE('Riparto acqua'!$H$15:$H$24)</f>
        <v/>
      </c>
    </row>
    <row r="21">
      <c r="F21" s="36">
        <f>'Riparto acqua'!B23</f>
        <v/>
      </c>
      <c r="G21" s="6">
        <f>'Riparto acqua'!C23</f>
        <v/>
      </c>
      <c r="H21" s="24">
        <f>'Riparto acqua'!H23</f>
        <v/>
      </c>
      <c r="I21" s="24">
        <f>AVERAGE('Riparto acqua'!$H$15:$H$24)</f>
        <v/>
      </c>
    </row>
    <row r="22">
      <c r="F22" s="37">
        <f>'Riparto acqua'!B24</f>
        <v/>
      </c>
      <c r="G22" s="10">
        <f>'Riparto acqua'!C24</f>
        <v/>
      </c>
      <c r="H22" s="25">
        <f>'Riparto acqua'!H24</f>
        <v/>
      </c>
      <c r="I22" s="25">
        <f>AVERAGE('Riparto acqua'!$H$15:$H$24)</f>
        <v/>
      </c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>
      <c r="A63" s="26" t="inlineStr">
        <is>
          <t>ISTRUZIONI</t>
        </is>
      </c>
      <c r="B63" s="18" t="n"/>
      <c r="C63" s="18" t="n"/>
      <c r="D63" s="18" t="n"/>
      <c r="E63" s="18" t="n"/>
      <c r="F63" s="18" t="n"/>
      <c r="G63" s="18" t="n"/>
      <c r="H63" s="18" t="n"/>
      <c r="I63" s="18" t="n"/>
    </row>
    <row r="64">
      <c r="A64" s="38" t="inlineStr">
        <is>
          <t>1. Foglio 'Letture e dati': inserire le letture iniziali e finali (celle gialle) di ciascun contatore; consumo, quote percentuali e stato lettura si calcolano automaticamente.</t>
        </is>
      </c>
    </row>
    <row r="65">
      <c r="A65" s="39" t="inlineStr">
        <is>
          <t>2. Lo stato lettura segnala 'Da verificare' se manca una lettura ed 'Errore lettura' se la lettura finale è inferiore a quella iniziale (verde = OK, giallo = da verificare, rosso = errore).</t>
        </is>
      </c>
    </row>
    <row r="66">
      <c r="A66" s="38" t="inlineStr">
        <is>
          <t>3. Foglio 'Riparto acqua': impostare i parametri economici nelle celle gialle (costo gestore, quote fisse, spese di lettura, percentuali di riparto).</t>
        </is>
      </c>
    </row>
    <row r="67">
      <c r="A67" s="39" t="inlineStr">
        <is>
          <t>4. Il riparto è misto: 70% del costo in base ai consumi effettivi e 30% in base ai millesimi di proprietà; le percentuali sono modificabili dall'amministratore.</t>
        </is>
      </c>
    </row>
    <row r="68">
      <c r="A68" s="38" t="inlineStr">
        <is>
          <t>5. Nella tabella di riparto le colonne F-K calcolano quota variabile, quota fissa, totale, arrotondamento, scostamento dalla quota media ed esito (quota elevata/ridotta/nella media).</t>
        </is>
      </c>
    </row>
    <row r="69">
      <c r="A69" s="39" t="inlineStr">
        <is>
          <t>6. La Dashboard riepiloga i principali indicatori condominiali e presenta i grafici di consumo per unità, ripartizione delle quote e confronto con la quota media.</t>
        </is>
      </c>
    </row>
    <row r="70">
      <c r="A70" s="38" t="inlineStr">
        <is>
          <t>7. Formati utilizzati: valute in euro (1.234,56 €), consumi in m³, percentuali con due decimali, date nel formato GG/MM/AAAA.</t>
        </is>
      </c>
    </row>
    <row r="71">
      <c r="A71" s="39" t="inlineStr">
        <is>
          <t>8. Periodo di riferimento: 01/01/2026 - 30/06/2026. Per un nuovo periodo aggiornare le letture dei contatori e i parametri economici.</t>
        </is>
      </c>
    </row>
  </sheetData>
  <mergeCells count="1">
    <mergeCell ref="A1:I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2026-07-29T03:54:26Z</dcterms:created>
  <dcterms:modified xmlns:dcterms="http://purl.org/dc/terms/" xmlns:xsi="http://www.w3.org/2001/XMLSchema-instance" xsi:type="dcterms:W3CDTF">2026-07-29T03:54:26Z</dcterms:modified>
</cp:coreProperties>
</file>