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ti" sheetId="1" state="visible" r:id="rId1"/>
    <sheet xmlns:r="http://schemas.openxmlformats.org/officeDocument/2006/relationships" name="Calcolo Cedolare" sheetId="2" state="visible" r:id="rId2"/>
    <sheet xmlns:r="http://schemas.openxmlformats.org/officeDocument/2006/relationships" name="Riepilogo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%"/>
  </numFmts>
  <fonts count="11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sz val="10"/>
    </font>
    <font>
      <b val="1"/>
      <color rgb="00FFFFFF"/>
    </font>
    <font>
      <i val="1"/>
      <color rgb="00C8102E"/>
      <sz val="10"/>
    </font>
    <font>
      <b val="1"/>
      <color rgb="00FFFFFF"/>
      <sz val="14"/>
    </font>
    <font>
      <b val="1"/>
    </font>
    <font>
      <b val="1"/>
      <color rgb="0016A34A"/>
      <sz val="11"/>
    </font>
    <font>
      <b val="1"/>
      <color rgb="00FFFFFF"/>
      <sz val="10"/>
    </font>
    <font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right" vertical="center"/>
    </xf>
    <xf numFmtId="165" fontId="4" fillId="2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0" fontId="2" fillId="6" borderId="0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left" vertical="center"/>
    </xf>
    <xf numFmtId="1" fontId="8" fillId="3" borderId="1" applyAlignment="1" pivotButton="0" quotePrefix="0" xfId="0">
      <alignment horizontal="right" vertical="center"/>
    </xf>
    <xf numFmtId="0" fontId="7" fillId="5" borderId="1" applyAlignment="1" pivotButton="0" quotePrefix="0" xfId="0">
      <alignment horizontal="left" vertical="center"/>
    </xf>
    <xf numFmtId="1" fontId="8" fillId="5" borderId="1" applyAlignment="1" pivotButton="0" quotePrefix="0" xfId="0">
      <alignment horizontal="right" vertical="center"/>
    </xf>
    <xf numFmtId="166" fontId="8" fillId="3" borderId="1" applyAlignment="1" pivotButton="0" quotePrefix="0" xfId="0">
      <alignment horizontal="right" vertical="center"/>
    </xf>
    <xf numFmtId="165" fontId="8" fillId="5" borderId="1" applyAlignment="1" pivotButton="0" quotePrefix="0" xfId="0">
      <alignment horizontal="right" vertical="center"/>
    </xf>
    <xf numFmtId="165" fontId="8" fillId="3" borderId="1" applyAlignment="1" pivotButton="0" quotePrefix="0" xfId="0">
      <alignment horizontal="right" vertical="center"/>
    </xf>
    <xf numFmtId="0" fontId="9" fillId="6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right" vertical="center"/>
    </xf>
    <xf numFmtId="0" fontId="3" fillId="0" borderId="0" pivotButton="0" quotePrefix="0" xfId="0"/>
    <xf numFmtId="0" fontId="2" fillId="6" borderId="1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165" fontId="4" fillId="2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6" fontId="8" fillId="3" borderId="1" applyAlignment="1" pivotButton="0" quotePrefix="0" xfId="0">
      <alignment horizontal="right" vertical="center"/>
    </xf>
    <xf numFmtId="165" fontId="8" fillId="5" borderId="1" applyAlignment="1" pivotButton="0" quotePrefix="0" xfId="0">
      <alignment horizontal="right" vertical="center"/>
    </xf>
    <xf numFmtId="165" fontId="8" fillId="3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  <dxf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Canone Annuo vs Imposta Cedolare per Contratto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'Riepilogo'!C14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'Riepilogo'!$A$15:$A$24</f>
            </numRef>
          </cat>
          <val>
            <numRef>
              <f>'Riepilogo'!$C$15:$C$24</f>
            </numRef>
          </val>
        </ser>
        <ser>
          <idx val="1"/>
          <order val="1"/>
          <tx>
            <strRef>
              <f>'Riepilogo'!D14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'Riepilogo'!$A$15:$A$24</f>
            </numRef>
          </cat>
          <val>
            <numRef>
              <f>'Riepilogo'!$D$15:$D$24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Tipo Contratto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cat>
            <numRef>
              <f>'Riepilogo'!$H$45:$H$47</f>
            </numRef>
          </cat>
          <val>
            <numRef>
              <f>'Riepilogo'!$I$45:$I$47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26</row>
      <rowOff>0</rowOff>
    </from>
    <ext cx="864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26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selection activeCell="A1" sqref="A1"/>
    </sheetView>
  </sheetViews>
  <sheetFormatPr baseColWidth="8" defaultRowHeight="15"/>
  <cols>
    <col width="11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2" customWidth="1" min="7" max="7"/>
    <col width="13" customWidth="1" min="8" max="8"/>
    <col width="12" customWidth="1" min="9" max="9"/>
    <col width="12" customWidth="1" min="10" max="10"/>
    <col width="15" customWidth="1" min="11" max="11"/>
    <col width="15" customWidth="1" min="12" max="12"/>
    <col width="14" customWidth="1" min="13" max="13"/>
    <col width="12" customWidth="1" min="14" max="14"/>
    <col width="16" customWidth="1" min="15" max="15"/>
    <col width="16" customWidth="1" min="16" max="16"/>
    <col width="18" customWidth="1" min="17" max="17"/>
    <col width="18" customWidth="1" min="18" max="18"/>
    <col width="22" customWidth="1" min="19" max="19"/>
  </cols>
  <sheetData>
    <row r="1" ht="30" customHeight="1">
      <c r="A1" s="1" t="inlineStr">
        <is>
          <t>REGISTRO CONTRATTI DI LOCAZIONE — CEDOLARE SECCA 21%</t>
        </is>
      </c>
    </row>
    <row r="2" ht="40" customHeight="1">
      <c r="A2" s="2" t="inlineStr">
        <is>
          <t>ID Contratto</t>
        </is>
      </c>
      <c r="B2" s="2" t="inlineStr">
        <is>
          <t>Proprietario</t>
        </is>
      </c>
      <c r="C2" s="2" t="inlineStr">
        <is>
          <t>C.F. Proprietario</t>
        </is>
      </c>
      <c r="D2" s="2" t="inlineStr">
        <is>
          <t>Inquilino</t>
        </is>
      </c>
      <c r="E2" s="2" t="inlineStr">
        <is>
          <t>C.F. Inquilino</t>
        </is>
      </c>
      <c r="F2" s="2" t="inlineStr">
        <is>
          <t>Indirizzo Immobile</t>
        </is>
      </c>
      <c r="G2" s="2" t="inlineStr">
        <is>
          <t>Comune</t>
        </is>
      </c>
      <c r="H2" s="2" t="inlineStr">
        <is>
          <t>Tipo Contratto</t>
        </is>
      </c>
      <c r="I2" s="2" t="inlineStr">
        <is>
          <t>Data Inizio</t>
        </is>
      </c>
      <c r="J2" s="2" t="inlineStr">
        <is>
          <t>Data Fine</t>
        </is>
      </c>
      <c r="K2" s="2" t="inlineStr">
        <is>
          <t>Canone Mensile (€)</t>
        </is>
      </c>
      <c r="L2" s="2" t="inlineStr">
        <is>
          <t>Canone Annuale (€)</t>
        </is>
      </c>
      <c r="M2" s="2" t="inlineStr">
        <is>
          <t>Ced. Applicabile</t>
        </is>
      </c>
      <c r="N2" s="2" t="inlineStr">
        <is>
          <t>Aliquota (%)</t>
        </is>
      </c>
      <c r="O2" s="2" t="inlineStr">
        <is>
          <t>Imposta Cedolare (€)</t>
        </is>
      </c>
      <c r="P2" s="2" t="inlineStr">
        <is>
          <t>Deposito Cauz. (€)</t>
        </is>
      </c>
      <c r="Q2" s="2" t="inlineStr">
        <is>
          <t>Spese Cond. Mens. (€)</t>
        </is>
      </c>
      <c r="R2" s="2" t="inlineStr">
        <is>
          <t>Canone Netto Annuo (€)</t>
        </is>
      </c>
      <c r="S2" s="2" t="inlineStr">
        <is>
          <t>Note</t>
        </is>
      </c>
    </row>
    <row r="3">
      <c r="A3" s="3" t="inlineStr">
        <is>
          <t>CTR-001</t>
        </is>
      </c>
      <c r="B3" s="4" t="inlineStr">
        <is>
          <t>Marco Rossi</t>
        </is>
      </c>
      <c r="C3" s="4" t="inlineStr">
        <is>
          <t>RSSMRC72A01F205X</t>
        </is>
      </c>
      <c r="D3" s="4" t="inlineStr">
        <is>
          <t>Luca Martini</t>
        </is>
      </c>
      <c r="E3" s="4" t="inlineStr">
        <is>
          <t>MRTLCU88B10F205Y</t>
        </is>
      </c>
      <c r="F3" s="4" t="inlineStr">
        <is>
          <t>Via Roma 12</t>
        </is>
      </c>
      <c r="G3" s="3" t="inlineStr">
        <is>
          <t>Milano</t>
        </is>
      </c>
      <c r="H3" s="3" t="inlineStr">
        <is>
          <t>4+4</t>
        </is>
      </c>
      <c r="I3" s="40" t="n">
        <v>46082</v>
      </c>
      <c r="J3" s="40" t="n">
        <v>47542</v>
      </c>
      <c r="K3" s="41" t="n">
        <v>1250</v>
      </c>
      <c r="L3" s="42">
        <f>K3*12</f>
        <v/>
      </c>
      <c r="M3" s="8" t="inlineStr">
        <is>
          <t>Sì</t>
        </is>
      </c>
      <c r="N3" s="43">
        <f>IF(M3="Sì",0.21,0)</f>
        <v/>
      </c>
      <c r="O3" s="42">
        <f>IF(M3="Sì",L3*0.21,0)</f>
        <v/>
      </c>
      <c r="P3" s="41" t="n">
        <v>3750</v>
      </c>
      <c r="Q3" s="41" t="n">
        <v>120</v>
      </c>
      <c r="R3" s="42">
        <f>L3-O3</f>
        <v/>
      </c>
      <c r="S3" s="3" t="inlineStr">
        <is>
          <t>Prima casa</t>
        </is>
      </c>
    </row>
    <row r="4">
      <c r="A4" s="10" t="inlineStr">
        <is>
          <t>CTR-002</t>
        </is>
      </c>
      <c r="B4" s="11" t="inlineStr">
        <is>
          <t>Giulia Bianchi</t>
        </is>
      </c>
      <c r="C4" s="11" t="inlineStr">
        <is>
          <t>BNCGLI85C41H501Z</t>
        </is>
      </c>
      <c r="D4" s="11" t="inlineStr">
        <is>
          <t>Elena Verdi</t>
        </is>
      </c>
      <c r="E4" s="11" t="inlineStr">
        <is>
          <t>VRDLNE90D50H501W</t>
        </is>
      </c>
      <c r="F4" s="11" t="inlineStr">
        <is>
          <t>Corso Italia 45</t>
        </is>
      </c>
      <c r="G4" s="10" t="inlineStr">
        <is>
          <t>Roma</t>
        </is>
      </c>
      <c r="H4" s="10" t="inlineStr">
        <is>
          <t>transitorio</t>
        </is>
      </c>
      <c r="I4" s="44" t="n">
        <v>46023</v>
      </c>
      <c r="J4" s="44" t="n">
        <v>46387</v>
      </c>
      <c r="K4" s="41" t="n">
        <v>950</v>
      </c>
      <c r="L4" s="45">
        <f>K4*12</f>
        <v/>
      </c>
      <c r="M4" s="8" t="inlineStr">
        <is>
          <t>Sì</t>
        </is>
      </c>
      <c r="N4" s="46">
        <f>IF(M4="Sì",0.21,0)</f>
        <v/>
      </c>
      <c r="O4" s="45">
        <f>IF(M4="Sì",L4*0.21,0)</f>
        <v/>
      </c>
      <c r="P4" s="41" t="n">
        <v>1900</v>
      </c>
      <c r="Q4" s="41" t="n">
        <v>80</v>
      </c>
      <c r="R4" s="45">
        <f>L4-O4</f>
        <v/>
      </c>
      <c r="S4" s="10" t="inlineStr">
        <is>
          <t>Durata 12 mesi</t>
        </is>
      </c>
    </row>
    <row r="5">
      <c r="A5" s="3" t="inlineStr">
        <is>
          <t>CTR-003</t>
        </is>
      </c>
      <c r="B5" s="4" t="inlineStr">
        <is>
          <t>Luca Ferrari</t>
        </is>
      </c>
      <c r="C5" s="4" t="inlineStr">
        <is>
          <t>FRRLCU78E01L219Q</t>
        </is>
      </c>
      <c r="D5" s="4" t="inlineStr">
        <is>
          <t>Andrea Mancini</t>
        </is>
      </c>
      <c r="E5" s="4" t="inlineStr">
        <is>
          <t>MNCNDR82F10L219P</t>
        </is>
      </c>
      <c r="F5" s="4" t="inlineStr">
        <is>
          <t>Via Garibaldi 8</t>
        </is>
      </c>
      <c r="G5" s="3" t="inlineStr">
        <is>
          <t>Torino</t>
        </is>
      </c>
      <c r="H5" s="3" t="inlineStr">
        <is>
          <t>4+4</t>
        </is>
      </c>
      <c r="I5" s="40" t="n">
        <v>46054</v>
      </c>
      <c r="J5" s="40" t="n">
        <v>47514</v>
      </c>
      <c r="K5" s="41" t="n">
        <v>780</v>
      </c>
      <c r="L5" s="42">
        <f>K5*12</f>
        <v/>
      </c>
      <c r="M5" s="8" t="inlineStr">
        <is>
          <t>No</t>
        </is>
      </c>
      <c r="N5" s="43">
        <f>IF(M5="Sì",0.21,0)</f>
        <v/>
      </c>
      <c r="O5" s="42">
        <f>IF(M5="Sì",L5*0.21,0)</f>
        <v/>
      </c>
      <c r="P5" s="41" t="n">
        <v>2340</v>
      </c>
      <c r="Q5" s="41" t="n">
        <v>60</v>
      </c>
      <c r="R5" s="42">
        <f>L5-O5</f>
        <v/>
      </c>
      <c r="S5" s="3" t="inlineStr">
        <is>
          <t>Regime ordinario IRPEF</t>
        </is>
      </c>
    </row>
    <row r="6">
      <c r="A6" s="10" t="inlineStr">
        <is>
          <t>CTR-004</t>
        </is>
      </c>
      <c r="B6" s="11" t="inlineStr">
        <is>
          <t>Anna Esposito</t>
        </is>
      </c>
      <c r="C6" s="11" t="inlineStr">
        <is>
          <t>SPSNNA80G41F839V</t>
        </is>
      </c>
      <c r="D6" s="11" t="inlineStr">
        <is>
          <t>Marco Gallo</t>
        </is>
      </c>
      <c r="E6" s="11" t="inlineStr">
        <is>
          <t>GLLMRC91H01F839U</t>
        </is>
      </c>
      <c r="F6" s="11" t="inlineStr">
        <is>
          <t>Viale Trastevere 22</t>
        </is>
      </c>
      <c r="G6" s="10" t="inlineStr">
        <is>
          <t>Roma</t>
        </is>
      </c>
      <c r="H6" s="10" t="inlineStr">
        <is>
          <t>3+2</t>
        </is>
      </c>
      <c r="I6" s="44" t="n">
        <v>46113</v>
      </c>
      <c r="J6" s="44" t="n">
        <v>47208</v>
      </c>
      <c r="K6" s="41" t="n">
        <v>1100</v>
      </c>
      <c r="L6" s="45">
        <f>K6*12</f>
        <v/>
      </c>
      <c r="M6" s="8" t="inlineStr">
        <is>
          <t>Sì</t>
        </is>
      </c>
      <c r="N6" s="46">
        <f>IF(M6="Sì",0.21,0)</f>
        <v/>
      </c>
      <c r="O6" s="45">
        <f>IF(M6="Sì",L6*0.21,0)</f>
        <v/>
      </c>
      <c r="P6" s="41" t="n">
        <v>3300</v>
      </c>
      <c r="Q6" s="41" t="n">
        <v>95</v>
      </c>
      <c r="R6" s="45">
        <f>L6-O6</f>
        <v/>
      </c>
      <c r="S6" s="10" t="inlineStr">
        <is>
          <t>Canone concordato</t>
        </is>
      </c>
    </row>
    <row r="7">
      <c r="A7" s="3" t="inlineStr">
        <is>
          <t>CTR-005</t>
        </is>
      </c>
      <c r="B7" s="4" t="inlineStr">
        <is>
          <t>Francesca Romano</t>
        </is>
      </c>
      <c r="C7" s="4" t="inlineStr">
        <is>
          <t>RMNFNC87M41F205T</t>
        </is>
      </c>
      <c r="D7" s="4" t="inlineStr">
        <is>
          <t>Sara Conti</t>
        </is>
      </c>
      <c r="E7" s="4" t="inlineStr">
        <is>
          <t>CNTSRA93L50F205S</t>
        </is>
      </c>
      <c r="F7" s="4" t="inlineStr">
        <is>
          <t>Via Dante 31</t>
        </is>
      </c>
      <c r="G7" s="3" t="inlineStr">
        <is>
          <t>Milano</t>
        </is>
      </c>
      <c r="H7" s="3" t="inlineStr">
        <is>
          <t>4+4</t>
        </is>
      </c>
      <c r="I7" s="40" t="n">
        <v>46023</v>
      </c>
      <c r="J7" s="40" t="n">
        <v>47483</v>
      </c>
      <c r="K7" s="41" t="n">
        <v>1450</v>
      </c>
      <c r="L7" s="42">
        <f>K7*12</f>
        <v/>
      </c>
      <c r="M7" s="8" t="inlineStr">
        <is>
          <t>Sì</t>
        </is>
      </c>
      <c r="N7" s="43">
        <f>IF(M7="Sì",0.21,0)</f>
        <v/>
      </c>
      <c r="O7" s="42">
        <f>IF(M7="Sì",L7*0.21,0)</f>
        <v/>
      </c>
      <c r="P7" s="41" t="n">
        <v>4350</v>
      </c>
      <c r="Q7" s="41" t="n">
        <v>150</v>
      </c>
      <c r="R7" s="42">
        <f>L7-O7</f>
        <v/>
      </c>
      <c r="S7" s="3" t="inlineStr">
        <is>
          <t>Bilocale ristrutturato</t>
        </is>
      </c>
    </row>
    <row r="8">
      <c r="A8" s="10" t="inlineStr">
        <is>
          <t>CTR-006</t>
        </is>
      </c>
      <c r="B8" s="11" t="inlineStr">
        <is>
          <t>Giuseppe Conti</t>
        </is>
      </c>
      <c r="C8" s="11" t="inlineStr">
        <is>
          <t>CNTGPP70B01D612R</t>
        </is>
      </c>
      <c r="D8" s="11" t="inlineStr">
        <is>
          <t>Matteo Ricci</t>
        </is>
      </c>
      <c r="E8" s="11" t="inlineStr">
        <is>
          <t>RCCMTT85C10D612Q</t>
        </is>
      </c>
      <c r="F8" s="11" t="inlineStr">
        <is>
          <t>Piazza Duomo 5</t>
        </is>
      </c>
      <c r="G8" s="10" t="inlineStr">
        <is>
          <t>Firenze</t>
        </is>
      </c>
      <c r="H8" s="10" t="inlineStr">
        <is>
          <t>transitorio</t>
        </is>
      </c>
      <c r="I8" s="44" t="n">
        <v>46082</v>
      </c>
      <c r="J8" s="44" t="n">
        <v>46446</v>
      </c>
      <c r="K8" s="41" t="n">
        <v>900</v>
      </c>
      <c r="L8" s="45">
        <f>K8*12</f>
        <v/>
      </c>
      <c r="M8" s="8" t="inlineStr">
        <is>
          <t>Sì</t>
        </is>
      </c>
      <c r="N8" s="46">
        <f>IF(M8="Sì",0.21,0)</f>
        <v/>
      </c>
      <c r="O8" s="45">
        <f>IF(M8="Sì",L8*0.21,0)</f>
        <v/>
      </c>
      <c r="P8" s="41" t="n">
        <v>2700</v>
      </c>
      <c r="Q8" s="41" t="n">
        <v>75</v>
      </c>
      <c r="R8" s="45">
        <f>L8-O8</f>
        <v/>
      </c>
      <c r="S8" s="10" t="inlineStr">
        <is>
          <t>Studente universitario</t>
        </is>
      </c>
    </row>
    <row r="9">
      <c r="A9" s="3" t="inlineStr">
        <is>
          <t>CTR-007</t>
        </is>
      </c>
      <c r="B9" s="4" t="inlineStr">
        <is>
          <t>Elena Greco</t>
        </is>
      </c>
      <c r="C9" s="4" t="inlineStr">
        <is>
          <t>GRCLNE82H41A944N</t>
        </is>
      </c>
      <c r="D9" s="4" t="inlineStr">
        <is>
          <t>Francesca Neri</t>
        </is>
      </c>
      <c r="E9" s="4" t="inlineStr">
        <is>
          <t>NRIFNC88L50A944M</t>
        </is>
      </c>
      <c r="F9" s="4" t="inlineStr">
        <is>
          <t>Via Mazzini 14</t>
        </is>
      </c>
      <c r="G9" s="3" t="inlineStr">
        <is>
          <t>Bologna</t>
        </is>
      </c>
      <c r="H9" s="3" t="inlineStr">
        <is>
          <t>3+2</t>
        </is>
      </c>
      <c r="I9" s="40" t="n">
        <v>46143</v>
      </c>
      <c r="J9" s="40" t="n">
        <v>47238</v>
      </c>
      <c r="K9" s="41" t="n">
        <v>750</v>
      </c>
      <c r="L9" s="42">
        <f>K9*12</f>
        <v/>
      </c>
      <c r="M9" s="8" t="inlineStr">
        <is>
          <t>No</t>
        </is>
      </c>
      <c r="N9" s="43">
        <f>IF(M9="Sì",0.21,0)</f>
        <v/>
      </c>
      <c r="O9" s="42">
        <f>IF(M9="Sì",L9*0.21,0)</f>
        <v/>
      </c>
      <c r="P9" s="41" t="n">
        <v>1500</v>
      </c>
      <c r="Q9" s="41" t="n">
        <v>55</v>
      </c>
      <c r="R9" s="42">
        <f>L9-O9</f>
        <v/>
      </c>
      <c r="S9" s="3" t="inlineStr">
        <is>
          <t>Regime ordinario</t>
        </is>
      </c>
    </row>
    <row r="10">
      <c r="A10" s="10" t="inlineStr">
        <is>
          <t>CTR-008</t>
        </is>
      </c>
      <c r="B10" s="11" t="inlineStr">
        <is>
          <t>Matteo De Santis</t>
        </is>
      </c>
      <c r="C10" s="11" t="inlineStr">
        <is>
          <t>DSPMTT79D01F839L</t>
        </is>
      </c>
      <c r="D10" s="11" t="inlineStr">
        <is>
          <t>Giovanna Russo</t>
        </is>
      </c>
      <c r="E10" s="11" t="inlineStr">
        <is>
          <t>RSSGNN92E50F839K</t>
        </is>
      </c>
      <c r="F10" s="11" t="inlineStr">
        <is>
          <t>Corso Venezia 19</t>
        </is>
      </c>
      <c r="G10" s="10" t="inlineStr">
        <is>
          <t>Napoli</t>
        </is>
      </c>
      <c r="H10" s="10" t="inlineStr">
        <is>
          <t>4+4</t>
        </is>
      </c>
      <c r="I10" s="44" t="n">
        <v>46054</v>
      </c>
      <c r="J10" s="44" t="n">
        <v>47514</v>
      </c>
      <c r="K10" s="41" t="n">
        <v>680</v>
      </c>
      <c r="L10" s="45">
        <f>K10*12</f>
        <v/>
      </c>
      <c r="M10" s="8" t="inlineStr">
        <is>
          <t>Sì</t>
        </is>
      </c>
      <c r="N10" s="46">
        <f>IF(M10="Sì",0.21,0)</f>
        <v/>
      </c>
      <c r="O10" s="45">
        <f>IF(M10="Sì",L10*0.21,0)</f>
        <v/>
      </c>
      <c r="P10" s="41" t="n">
        <v>2040</v>
      </c>
      <c r="Q10" s="41" t="n">
        <v>50</v>
      </c>
      <c r="R10" s="45">
        <f>L10-O10</f>
        <v/>
      </c>
      <c r="S10" s="10" t="inlineStr">
        <is>
          <t>Trilocale</t>
        </is>
      </c>
    </row>
    <row r="11">
      <c r="A11" s="3" t="inlineStr">
        <is>
          <t>CTR-009</t>
        </is>
      </c>
      <c r="B11" s="4" t="inlineStr">
        <is>
          <t>Sara Neri</t>
        </is>
      </c>
      <c r="C11" s="4" t="inlineStr">
        <is>
          <t>NRISRA91L41L219H</t>
        </is>
      </c>
      <c r="D11" s="4" t="inlineStr">
        <is>
          <t>Roberto Poli</t>
        </is>
      </c>
      <c r="E11" s="4" t="inlineStr">
        <is>
          <t>PLIRBT86G10L219G</t>
        </is>
      </c>
      <c r="F11" s="4" t="inlineStr">
        <is>
          <t>Via Po 7</t>
        </is>
      </c>
      <c r="G11" s="3" t="inlineStr">
        <is>
          <t>Torino</t>
        </is>
      </c>
      <c r="H11" s="3" t="inlineStr">
        <is>
          <t>4+4</t>
        </is>
      </c>
      <c r="I11" s="40" t="n">
        <v>46174</v>
      </c>
      <c r="J11" s="40" t="n">
        <v>47634</v>
      </c>
      <c r="K11" s="41" t="n">
        <v>850</v>
      </c>
      <c r="L11" s="42">
        <f>K11*12</f>
        <v/>
      </c>
      <c r="M11" s="8" t="inlineStr">
        <is>
          <t>Sì</t>
        </is>
      </c>
      <c r="N11" s="43">
        <f>IF(M11="Sì",0.21,0)</f>
        <v/>
      </c>
      <c r="O11" s="42">
        <f>IF(M11="Sì",L11*0.21,0)</f>
        <v/>
      </c>
      <c r="P11" s="41" t="n">
        <v>2550</v>
      </c>
      <c r="Q11" s="41" t="n">
        <v>70</v>
      </c>
      <c r="R11" s="42">
        <f>L11-O11</f>
        <v/>
      </c>
      <c r="S11" s="3" t="inlineStr">
        <is>
          <t>Arredato</t>
        </is>
      </c>
    </row>
    <row r="12">
      <c r="A12" s="10" t="inlineStr">
        <is>
          <t>CTR-010</t>
        </is>
      </c>
      <c r="B12" s="11" t="inlineStr">
        <is>
          <t>Andrea Fontana</t>
        </is>
      </c>
      <c r="C12" s="11" t="inlineStr">
        <is>
          <t>FNTDNR76C01L781F</t>
        </is>
      </c>
      <c r="D12" s="11" t="inlineStr">
        <is>
          <t>Chiara Moretti</t>
        </is>
      </c>
      <c r="E12" s="11" t="inlineStr">
        <is>
          <t>MRTCHR90A41L781E</t>
        </is>
      </c>
      <c r="F12" s="11" t="inlineStr">
        <is>
          <t>Via Cavour 18</t>
        </is>
      </c>
      <c r="G12" s="10" t="inlineStr">
        <is>
          <t>Verona</t>
        </is>
      </c>
      <c r="H12" s="10" t="inlineStr">
        <is>
          <t>transitorio</t>
        </is>
      </c>
      <c r="I12" s="44" t="n">
        <v>46113</v>
      </c>
      <c r="J12" s="44" t="n">
        <v>46477</v>
      </c>
      <c r="K12" s="41" t="n">
        <v>650</v>
      </c>
      <c r="L12" s="45">
        <f>K12*12</f>
        <v/>
      </c>
      <c r="M12" s="8" t="inlineStr">
        <is>
          <t>Sì</t>
        </is>
      </c>
      <c r="N12" s="46">
        <f>IF(M12="Sì",0.21,0)</f>
        <v/>
      </c>
      <c r="O12" s="45">
        <f>IF(M12="Sì",L12*0.21,0)</f>
        <v/>
      </c>
      <c r="P12" s="41" t="n">
        <v>1950</v>
      </c>
      <c r="Q12" s="41" t="n">
        <v>45</v>
      </c>
      <c r="R12" s="45">
        <f>L12-O12</f>
        <v/>
      </c>
      <c r="S12" s="10" t="inlineStr">
        <is>
          <t>Monolocale</t>
        </is>
      </c>
    </row>
    <row r="13">
      <c r="A13" s="15" t="inlineStr">
        <is>
          <t>TOTALI</t>
        </is>
      </c>
      <c r="B13" s="16" t="n"/>
      <c r="C13" s="16" t="n"/>
      <c r="D13" s="16" t="n"/>
      <c r="E13" s="16" t="n"/>
      <c r="F13" s="16" t="n"/>
      <c r="G13" s="16" t="n"/>
      <c r="H13" s="16" t="n"/>
      <c r="I13" s="16" t="n"/>
      <c r="J13" s="16" t="n"/>
      <c r="K13" s="47">
        <f>SUM(K3:K12)</f>
        <v/>
      </c>
      <c r="L13" s="47">
        <f>SUM(L3:L12)</f>
        <v/>
      </c>
      <c r="M13" s="16" t="n"/>
      <c r="N13" s="16" t="n"/>
      <c r="O13" s="47">
        <f>SUM(O3:O12)</f>
        <v/>
      </c>
      <c r="P13" s="47">
        <f>SUM(P3:P12)</f>
        <v/>
      </c>
      <c r="Q13" s="16" t="n"/>
      <c r="R13" s="47">
        <f>SUM(R3:R12)</f>
        <v/>
      </c>
      <c r="S13" s="16" t="n"/>
    </row>
  </sheetData>
  <mergeCells count="1">
    <mergeCell ref="A1:S1"/>
  </mergeCells>
  <conditionalFormatting sqref="M3:M12">
    <cfRule type="expression" priority="1" dxfId="0" stopIfTrue="1">
      <formula>M3="Sì"</formula>
    </cfRule>
    <cfRule type="expression" priority="2" dxfId="1" stopIfTrue="1">
      <formula>M3="No"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0" customHeight="1">
      <c r="A1" s="1" t="inlineStr">
        <is>
          <t>CALCOLO CEDOLARE SECCA 21% — CONFRONTO FISCALE</t>
        </is>
      </c>
    </row>
    <row r="2" ht="20" customHeight="1">
      <c r="A2" s="18" t="inlineStr">
        <is>
          <t>Confronto tra regime cedolare secca (21%) e regime ordinario IRPEF — Anno fiscale 2026</t>
        </is>
      </c>
    </row>
    <row r="3" ht="40" customHeight="1">
      <c r="A3" s="2" t="inlineStr">
        <is>
          <t>ID Contratto</t>
        </is>
      </c>
      <c r="B3" s="2" t="inlineStr">
        <is>
          <t>Canone Annuo (€)</t>
        </is>
      </c>
      <c r="C3" s="2" t="inlineStr">
        <is>
          <t>Cedolare 21% (€)</t>
        </is>
      </c>
      <c r="D3" s="2" t="inlineStr">
        <is>
          <t>Imposta Registro (€)</t>
        </is>
      </c>
      <c r="E3" s="2" t="inlineStr">
        <is>
          <t>IRPEF Stimata (€)</t>
        </is>
      </c>
      <c r="F3" s="2" t="inlineStr">
        <is>
          <t>Addizionali (€)</t>
        </is>
      </c>
      <c r="G3" s="2" t="inlineStr">
        <is>
          <t>Netto Cedolare (€)</t>
        </is>
      </c>
      <c r="H3" s="2" t="inlineStr">
        <is>
          <t>Netto Ordinario (€)</t>
        </is>
      </c>
      <c r="I3" s="2" t="inlineStr">
        <is>
          <t>Risparmio (€)</t>
        </is>
      </c>
    </row>
    <row r="4">
      <c r="A4" s="8" t="inlineStr">
        <is>
          <t>CTR-001</t>
        </is>
      </c>
      <c r="B4" s="48">
        <f>IFERROR(VLOOKUP(A4,Contratti!A:R,12,0),0)</f>
        <v/>
      </c>
      <c r="C4" s="48">
        <f>IFERROR(VLOOKUP(A4,Contratti!A:R,15,0),0)</f>
        <v/>
      </c>
      <c r="D4" s="48">
        <f>IFERROR(B4*0.02,0)</f>
        <v/>
      </c>
      <c r="E4" s="48">
        <f>IFERROR(B4*0.95*0.23,0)</f>
        <v/>
      </c>
      <c r="F4" s="48">
        <f>IFERROR(E4*0.03,0)</f>
        <v/>
      </c>
      <c r="G4" s="48">
        <f>IFERROR(B4-C4,0)</f>
        <v/>
      </c>
      <c r="H4" s="48">
        <f>IFERROR(B4-D4-E4-F4,0)</f>
        <v/>
      </c>
      <c r="I4" s="48">
        <f>IFERROR(G4-H4,0)</f>
        <v/>
      </c>
    </row>
    <row r="5">
      <c r="A5" s="8" t="inlineStr">
        <is>
          <t>CTR-002</t>
        </is>
      </c>
      <c r="B5" s="49">
        <f>IFERROR(VLOOKUP(A5,Contratti!A:R,12,0),0)</f>
        <v/>
      </c>
      <c r="C5" s="49">
        <f>IFERROR(VLOOKUP(A5,Contratti!A:R,15,0),0)</f>
        <v/>
      </c>
      <c r="D5" s="49">
        <f>IFERROR(B5*0.02,0)</f>
        <v/>
      </c>
      <c r="E5" s="49">
        <f>IFERROR(B5*0.95*0.23,0)</f>
        <v/>
      </c>
      <c r="F5" s="49">
        <f>IFERROR(E5*0.03,0)</f>
        <v/>
      </c>
      <c r="G5" s="49">
        <f>IFERROR(B5-C5,0)</f>
        <v/>
      </c>
      <c r="H5" s="49">
        <f>IFERROR(B5-D5-E5-F5,0)</f>
        <v/>
      </c>
      <c r="I5" s="49">
        <f>IFERROR(G5-H5,0)</f>
        <v/>
      </c>
    </row>
    <row r="6">
      <c r="A6" s="8" t="inlineStr">
        <is>
          <t>CTR-003</t>
        </is>
      </c>
      <c r="B6" s="48">
        <f>IFERROR(VLOOKUP(A6,Contratti!A:R,12,0),0)</f>
        <v/>
      </c>
      <c r="C6" s="48">
        <f>IFERROR(VLOOKUP(A6,Contratti!A:R,15,0),0)</f>
        <v/>
      </c>
      <c r="D6" s="48">
        <f>IFERROR(B6*0.02,0)</f>
        <v/>
      </c>
      <c r="E6" s="48">
        <f>IFERROR(B6*0.95*0.23,0)</f>
        <v/>
      </c>
      <c r="F6" s="48">
        <f>IFERROR(E6*0.03,0)</f>
        <v/>
      </c>
      <c r="G6" s="48">
        <f>IFERROR(B6-C6,0)</f>
        <v/>
      </c>
      <c r="H6" s="48">
        <f>IFERROR(B6-D6-E6-F6,0)</f>
        <v/>
      </c>
      <c r="I6" s="48">
        <f>IFERROR(G6-H6,0)</f>
        <v/>
      </c>
    </row>
    <row r="7">
      <c r="A7" s="8" t="inlineStr">
        <is>
          <t>CTR-004</t>
        </is>
      </c>
      <c r="B7" s="49">
        <f>IFERROR(VLOOKUP(A7,Contratti!A:R,12,0),0)</f>
        <v/>
      </c>
      <c r="C7" s="49">
        <f>IFERROR(VLOOKUP(A7,Contratti!A:R,15,0),0)</f>
        <v/>
      </c>
      <c r="D7" s="49">
        <f>IFERROR(B7*0.02,0)</f>
        <v/>
      </c>
      <c r="E7" s="49">
        <f>IFERROR(B7*0.95*0.23,0)</f>
        <v/>
      </c>
      <c r="F7" s="49">
        <f>IFERROR(E7*0.03,0)</f>
        <v/>
      </c>
      <c r="G7" s="49">
        <f>IFERROR(B7-C7,0)</f>
        <v/>
      </c>
      <c r="H7" s="49">
        <f>IFERROR(B7-D7-E7-F7,0)</f>
        <v/>
      </c>
      <c r="I7" s="49">
        <f>IFERROR(G7-H7,0)</f>
        <v/>
      </c>
    </row>
    <row r="8">
      <c r="A8" s="8" t="inlineStr">
        <is>
          <t>CTR-005</t>
        </is>
      </c>
      <c r="B8" s="48">
        <f>IFERROR(VLOOKUP(A8,Contratti!A:R,12,0),0)</f>
        <v/>
      </c>
      <c r="C8" s="48">
        <f>IFERROR(VLOOKUP(A8,Contratti!A:R,15,0),0)</f>
        <v/>
      </c>
      <c r="D8" s="48">
        <f>IFERROR(B8*0.02,0)</f>
        <v/>
      </c>
      <c r="E8" s="48">
        <f>IFERROR(B8*0.95*0.23,0)</f>
        <v/>
      </c>
      <c r="F8" s="48">
        <f>IFERROR(E8*0.03,0)</f>
        <v/>
      </c>
      <c r="G8" s="48">
        <f>IFERROR(B8-C8,0)</f>
        <v/>
      </c>
      <c r="H8" s="48">
        <f>IFERROR(B8-D8-E8-F8,0)</f>
        <v/>
      </c>
      <c r="I8" s="48">
        <f>IFERROR(G8-H8,0)</f>
        <v/>
      </c>
    </row>
    <row r="9">
      <c r="A9" s="8" t="inlineStr">
        <is>
          <t>CTR-006</t>
        </is>
      </c>
      <c r="B9" s="49">
        <f>IFERROR(VLOOKUP(A9,Contratti!A:R,12,0),0)</f>
        <v/>
      </c>
      <c r="C9" s="49">
        <f>IFERROR(VLOOKUP(A9,Contratti!A:R,15,0),0)</f>
        <v/>
      </c>
      <c r="D9" s="49">
        <f>IFERROR(B9*0.02,0)</f>
        <v/>
      </c>
      <c r="E9" s="49">
        <f>IFERROR(B9*0.95*0.23,0)</f>
        <v/>
      </c>
      <c r="F9" s="49">
        <f>IFERROR(E9*0.03,0)</f>
        <v/>
      </c>
      <c r="G9" s="49">
        <f>IFERROR(B9-C9,0)</f>
        <v/>
      </c>
      <c r="H9" s="49">
        <f>IFERROR(B9-D9-E9-F9,0)</f>
        <v/>
      </c>
      <c r="I9" s="49">
        <f>IFERROR(G9-H9,0)</f>
        <v/>
      </c>
    </row>
    <row r="10">
      <c r="A10" s="8" t="inlineStr">
        <is>
          <t>CTR-007</t>
        </is>
      </c>
      <c r="B10" s="48">
        <f>IFERROR(VLOOKUP(A10,Contratti!A:R,12,0),0)</f>
        <v/>
      </c>
      <c r="C10" s="48">
        <f>IFERROR(VLOOKUP(A10,Contratti!A:R,15,0),0)</f>
        <v/>
      </c>
      <c r="D10" s="48">
        <f>IFERROR(B10*0.02,0)</f>
        <v/>
      </c>
      <c r="E10" s="48">
        <f>IFERROR(B10*0.95*0.23,0)</f>
        <v/>
      </c>
      <c r="F10" s="48">
        <f>IFERROR(E10*0.03,0)</f>
        <v/>
      </c>
      <c r="G10" s="48">
        <f>IFERROR(B10-C10,0)</f>
        <v/>
      </c>
      <c r="H10" s="48">
        <f>IFERROR(B10-D10-E10-F10,0)</f>
        <v/>
      </c>
      <c r="I10" s="48">
        <f>IFERROR(G10-H10,0)</f>
        <v/>
      </c>
    </row>
    <row r="11">
      <c r="A11" s="8" t="inlineStr">
        <is>
          <t>CTR-008</t>
        </is>
      </c>
      <c r="B11" s="49">
        <f>IFERROR(VLOOKUP(A11,Contratti!A:R,12,0),0)</f>
        <v/>
      </c>
      <c r="C11" s="49">
        <f>IFERROR(VLOOKUP(A11,Contratti!A:R,15,0),0)</f>
        <v/>
      </c>
      <c r="D11" s="49">
        <f>IFERROR(B11*0.02,0)</f>
        <v/>
      </c>
      <c r="E11" s="49">
        <f>IFERROR(B11*0.95*0.23,0)</f>
        <v/>
      </c>
      <c r="F11" s="49">
        <f>IFERROR(E11*0.03,0)</f>
        <v/>
      </c>
      <c r="G11" s="49">
        <f>IFERROR(B11-C11,0)</f>
        <v/>
      </c>
      <c r="H11" s="49">
        <f>IFERROR(B11-D11-E11-F11,0)</f>
        <v/>
      </c>
      <c r="I11" s="49">
        <f>IFERROR(G11-H11,0)</f>
        <v/>
      </c>
    </row>
    <row r="12">
      <c r="A12" s="8" t="inlineStr">
        <is>
          <t>CTR-009</t>
        </is>
      </c>
      <c r="B12" s="48">
        <f>IFERROR(VLOOKUP(A12,Contratti!A:R,12,0),0)</f>
        <v/>
      </c>
      <c r="C12" s="48">
        <f>IFERROR(VLOOKUP(A12,Contratti!A:R,15,0),0)</f>
        <v/>
      </c>
      <c r="D12" s="48">
        <f>IFERROR(B12*0.02,0)</f>
        <v/>
      </c>
      <c r="E12" s="48">
        <f>IFERROR(B12*0.95*0.23,0)</f>
        <v/>
      </c>
      <c r="F12" s="48">
        <f>IFERROR(E12*0.03,0)</f>
        <v/>
      </c>
      <c r="G12" s="48">
        <f>IFERROR(B12-C12,0)</f>
        <v/>
      </c>
      <c r="H12" s="48">
        <f>IFERROR(B12-D12-E12-F12,0)</f>
        <v/>
      </c>
      <c r="I12" s="48">
        <f>IFERROR(G12-H12,0)</f>
        <v/>
      </c>
    </row>
    <row r="13">
      <c r="A13" s="8" t="inlineStr">
        <is>
          <t>CTR-010</t>
        </is>
      </c>
      <c r="B13" s="49">
        <f>IFERROR(VLOOKUP(A13,Contratti!A:R,12,0),0)</f>
        <v/>
      </c>
      <c r="C13" s="49">
        <f>IFERROR(VLOOKUP(A13,Contratti!A:R,15,0),0)</f>
        <v/>
      </c>
      <c r="D13" s="49">
        <f>IFERROR(B13*0.02,0)</f>
        <v/>
      </c>
      <c r="E13" s="49">
        <f>IFERROR(B13*0.95*0.23,0)</f>
        <v/>
      </c>
      <c r="F13" s="49">
        <f>IFERROR(E13*0.03,0)</f>
        <v/>
      </c>
      <c r="G13" s="49">
        <f>IFERROR(B13-C13,0)</f>
        <v/>
      </c>
      <c r="H13" s="49">
        <f>IFERROR(B13-D13-E13-F13,0)</f>
        <v/>
      </c>
      <c r="I13" s="49">
        <f>IFERROR(G13-H13,0)</f>
        <v/>
      </c>
    </row>
    <row r="14">
      <c r="A14" s="15" t="inlineStr">
        <is>
          <t>TOTALI</t>
        </is>
      </c>
      <c r="B14" s="47">
        <f>SUM(B4:B13)</f>
        <v/>
      </c>
      <c r="C14" s="47">
        <f>SUM(C4:C13)</f>
        <v/>
      </c>
      <c r="D14" s="47">
        <f>SUM(D4:D13)</f>
        <v/>
      </c>
      <c r="E14" s="47">
        <f>SUM(E4:E13)</f>
        <v/>
      </c>
      <c r="F14" s="47">
        <f>SUM(F4:F13)</f>
        <v/>
      </c>
      <c r="G14" s="47">
        <f>SUM(G4:G13)</f>
        <v/>
      </c>
      <c r="H14" s="47">
        <f>SUM(H4:H13)</f>
        <v/>
      </c>
      <c r="I14" s="47">
        <f>SUM(I4:I13)</f>
        <v/>
      </c>
    </row>
    <row r="15"/>
    <row r="16">
      <c r="A16" s="21" t="inlineStr">
        <is>
          <t>ANALISI PER CONTRATTO — CONVENIENZA CEDOLARE SECCA</t>
        </is>
      </c>
    </row>
    <row r="17">
      <c r="A17" s="2" t="inlineStr">
        <is>
          <t>ID Contratto</t>
        </is>
      </c>
      <c r="B17" s="2" t="inlineStr">
        <is>
          <t>Netto Cedolare (€)</t>
        </is>
      </c>
      <c r="C17" s="2" t="inlineStr">
        <is>
          <t>Netto Ordinario (€)</t>
        </is>
      </c>
      <c r="D17" s="2" t="inlineStr">
        <is>
          <t>Risparmio (€)</t>
        </is>
      </c>
      <c r="E17" s="2" t="inlineStr">
        <is>
          <t>% Risparmio</t>
        </is>
      </c>
      <c r="F17" s="2" t="inlineStr">
        <is>
          <t>Convenienza</t>
        </is>
      </c>
    </row>
    <row r="18">
      <c r="A18" s="10" t="inlineStr">
        <is>
          <t>CTR-001</t>
        </is>
      </c>
      <c r="B18" s="48">
        <f>IFERROR(G4,0)</f>
        <v/>
      </c>
      <c r="C18" s="48">
        <f>IFERROR(H4,0)</f>
        <v/>
      </c>
      <c r="D18" s="48">
        <f>IFERROR(B18-C18,0)</f>
        <v/>
      </c>
      <c r="E18" s="50">
        <f>IFERROR(D18/C18,0)</f>
        <v/>
      </c>
      <c r="F18" s="10">
        <f>IF(B18&gt;C18,"Conveniente","Da valutare")</f>
        <v/>
      </c>
    </row>
    <row r="19">
      <c r="A19" s="3" t="inlineStr">
        <is>
          <t>CTR-002</t>
        </is>
      </c>
      <c r="B19" s="49">
        <f>IFERROR(G5,0)</f>
        <v/>
      </c>
      <c r="C19" s="49">
        <f>IFERROR(H5,0)</f>
        <v/>
      </c>
      <c r="D19" s="49">
        <f>IFERROR(B19-C19,0)</f>
        <v/>
      </c>
      <c r="E19" s="51">
        <f>IFERROR(D19/C19,0)</f>
        <v/>
      </c>
      <c r="F19" s="3">
        <f>IF(B19&gt;C19,"Conveniente","Da valutare")</f>
        <v/>
      </c>
    </row>
    <row r="20">
      <c r="A20" s="10" t="inlineStr">
        <is>
          <t>CTR-003</t>
        </is>
      </c>
      <c r="B20" s="48">
        <f>IFERROR(G6,0)</f>
        <v/>
      </c>
      <c r="C20" s="48">
        <f>IFERROR(H6,0)</f>
        <v/>
      </c>
      <c r="D20" s="48">
        <f>IFERROR(B20-C20,0)</f>
        <v/>
      </c>
      <c r="E20" s="50">
        <f>IFERROR(D20/C20,0)</f>
        <v/>
      </c>
      <c r="F20" s="10">
        <f>IF(B20&gt;C20,"Conveniente","Da valutare")</f>
        <v/>
      </c>
    </row>
    <row r="21">
      <c r="A21" s="3" t="inlineStr">
        <is>
          <t>CTR-004</t>
        </is>
      </c>
      <c r="B21" s="49">
        <f>IFERROR(G7,0)</f>
        <v/>
      </c>
      <c r="C21" s="49">
        <f>IFERROR(H7,0)</f>
        <v/>
      </c>
      <c r="D21" s="49">
        <f>IFERROR(B21-C21,0)</f>
        <v/>
      </c>
      <c r="E21" s="51">
        <f>IFERROR(D21/C21,0)</f>
        <v/>
      </c>
      <c r="F21" s="3">
        <f>IF(B21&gt;C21,"Conveniente","Da valutare")</f>
        <v/>
      </c>
    </row>
    <row r="22">
      <c r="A22" s="10" t="inlineStr">
        <is>
          <t>CTR-005</t>
        </is>
      </c>
      <c r="B22" s="48">
        <f>IFERROR(G8,0)</f>
        <v/>
      </c>
      <c r="C22" s="48">
        <f>IFERROR(H8,0)</f>
        <v/>
      </c>
      <c r="D22" s="48">
        <f>IFERROR(B22-C22,0)</f>
        <v/>
      </c>
      <c r="E22" s="50">
        <f>IFERROR(D22/C22,0)</f>
        <v/>
      </c>
      <c r="F22" s="10">
        <f>IF(B22&gt;C22,"Conveniente","Da valutare")</f>
        <v/>
      </c>
    </row>
    <row r="23">
      <c r="A23" s="3" t="inlineStr">
        <is>
          <t>CTR-006</t>
        </is>
      </c>
      <c r="B23" s="49">
        <f>IFERROR(G9,0)</f>
        <v/>
      </c>
      <c r="C23" s="49">
        <f>IFERROR(H9,0)</f>
        <v/>
      </c>
      <c r="D23" s="49">
        <f>IFERROR(B23-C23,0)</f>
        <v/>
      </c>
      <c r="E23" s="51">
        <f>IFERROR(D23/C23,0)</f>
        <v/>
      </c>
      <c r="F23" s="3">
        <f>IF(B23&gt;C23,"Conveniente","Da valutare")</f>
        <v/>
      </c>
    </row>
    <row r="24">
      <c r="A24" s="10" t="inlineStr">
        <is>
          <t>CTR-007</t>
        </is>
      </c>
      <c r="B24" s="48">
        <f>IFERROR(G10,0)</f>
        <v/>
      </c>
      <c r="C24" s="48">
        <f>IFERROR(H10,0)</f>
        <v/>
      </c>
      <c r="D24" s="48">
        <f>IFERROR(B24-C24,0)</f>
        <v/>
      </c>
      <c r="E24" s="50">
        <f>IFERROR(D24/C24,0)</f>
        <v/>
      </c>
      <c r="F24" s="10">
        <f>IF(B24&gt;C24,"Conveniente","Da valutare")</f>
        <v/>
      </c>
    </row>
    <row r="25">
      <c r="A25" s="3" t="inlineStr">
        <is>
          <t>CTR-008</t>
        </is>
      </c>
      <c r="B25" s="49">
        <f>IFERROR(G11,0)</f>
        <v/>
      </c>
      <c r="C25" s="49">
        <f>IFERROR(H11,0)</f>
        <v/>
      </c>
      <c r="D25" s="49">
        <f>IFERROR(B25-C25,0)</f>
        <v/>
      </c>
      <c r="E25" s="51">
        <f>IFERROR(D25/C25,0)</f>
        <v/>
      </c>
      <c r="F25" s="3">
        <f>IF(B25&gt;C25,"Conveniente","Da valutare")</f>
        <v/>
      </c>
    </row>
    <row r="26">
      <c r="A26" s="10" t="inlineStr">
        <is>
          <t>CTR-009</t>
        </is>
      </c>
      <c r="B26" s="48">
        <f>IFERROR(G12,0)</f>
        <v/>
      </c>
      <c r="C26" s="48">
        <f>IFERROR(H12,0)</f>
        <v/>
      </c>
      <c r="D26" s="48">
        <f>IFERROR(B26-C26,0)</f>
        <v/>
      </c>
      <c r="E26" s="50">
        <f>IFERROR(D26/C26,0)</f>
        <v/>
      </c>
      <c r="F26" s="10">
        <f>IF(B26&gt;C26,"Conveniente","Da valutare")</f>
        <v/>
      </c>
    </row>
    <row r="27">
      <c r="A27" s="3" t="inlineStr">
        <is>
          <t>CTR-010</t>
        </is>
      </c>
      <c r="B27" s="49">
        <f>IFERROR(G13,0)</f>
        <v/>
      </c>
      <c r="C27" s="49">
        <f>IFERROR(H13,0)</f>
        <v/>
      </c>
      <c r="D27" s="49">
        <f>IFERROR(B27-C27,0)</f>
        <v/>
      </c>
      <c r="E27" s="51">
        <f>IFERROR(D27/C27,0)</f>
        <v/>
      </c>
      <c r="F27" s="3">
        <f>IF(B27&gt;C27,"Conveniente","Da valutare")</f>
        <v/>
      </c>
    </row>
  </sheetData>
  <mergeCells count="3">
    <mergeCell ref="A1:I1"/>
    <mergeCell ref="A2:I2"/>
    <mergeCell ref="A16:I16"/>
  </mergeCells>
  <conditionalFormatting sqref="F18:F27">
    <cfRule type="expression" priority="1" dxfId="0" stopIfTrue="1">
      <formula>F18="Conveniente"</formula>
    </cfRule>
    <cfRule type="expression" priority="2" dxfId="2" stopIfTrue="1">
      <formula>F18="Da valutare"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7"/>
  <sheetViews>
    <sheetView workbookViewId="0">
      <selection activeCell="A1" sqref="A1"/>
    </sheetView>
  </sheetViews>
  <sheetFormatPr baseColWidth="8" defaultRowHeight="15"/>
  <cols>
    <col width="35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35" customHeight="1">
      <c r="A1" s="24" t="inlineStr">
        <is>
          <t>RIEPILOGO CEDOLARE SECCA — DASHBOARD INVESTITORE</t>
        </is>
      </c>
    </row>
    <row r="2">
      <c r="A2" s="2" t="inlineStr">
        <is>
          <t>Indicatore</t>
        </is>
      </c>
      <c r="B2" s="2" t="inlineStr">
        <is>
          <t>Valore</t>
        </is>
      </c>
    </row>
    <row r="3">
      <c r="A3" s="25" t="inlineStr">
        <is>
          <t>Numero Contratti Totali</t>
        </is>
      </c>
      <c r="B3" s="26">
        <f>COUNTA(Contratti!A3:A12)</f>
        <v/>
      </c>
    </row>
    <row r="4">
      <c r="A4" s="27" t="inlineStr">
        <is>
          <t>Contratti con Cedolare (Sì)</t>
        </is>
      </c>
      <c r="B4" s="28">
        <f>COUNTIF(Contratti!M3:M12,"Sì")</f>
        <v/>
      </c>
    </row>
    <row r="5">
      <c r="A5" s="25" t="inlineStr">
        <is>
          <t>% Contratti in Cedolare</t>
        </is>
      </c>
      <c r="B5" s="52">
        <f>IFERROR(COUNTIF(Contratti!M3:M12,"Sì")/COUNTA(Contratti!M3:M12),0)</f>
        <v/>
      </c>
    </row>
    <row r="6">
      <c r="A6" s="27" t="inlineStr">
        <is>
          <t>Canone Annuo Totale (€)</t>
        </is>
      </c>
      <c r="B6" s="53">
        <f>SUM(Contratti!L3:L12)</f>
        <v/>
      </c>
    </row>
    <row r="7">
      <c r="A7" s="25" t="inlineStr">
        <is>
          <t>Imposta Cedolare Totale (€)</t>
        </is>
      </c>
      <c r="B7" s="54">
        <f>SUM(Contratti!O3:O12)</f>
        <v/>
      </c>
    </row>
    <row r="8">
      <c r="A8" s="27" t="inlineStr">
        <is>
          <t>Canone Netto Annuo Totale (€)</t>
        </is>
      </c>
      <c r="B8" s="53">
        <f>SUM(Contratti!R3:R12)</f>
        <v/>
      </c>
    </row>
    <row r="9">
      <c r="A9" s="25" t="inlineStr">
        <is>
          <t>Media Canone Mensile (€)</t>
        </is>
      </c>
      <c r="B9" s="54">
        <f>AVERAGE(Contratti!K3:K12)</f>
        <v/>
      </c>
    </row>
    <row r="10">
      <c r="A10" s="27" t="inlineStr">
        <is>
          <t>Deposito Cauzionale Medio (€)</t>
        </is>
      </c>
      <c r="B10" s="53">
        <f>AVERAGE(Contratti!P3:P12)</f>
        <v/>
      </c>
    </row>
    <row r="11">
      <c r="A11" s="25" t="inlineStr">
        <is>
          <t>Aliquota Media Effettiva (%)</t>
        </is>
      </c>
      <c r="B11" s="52">
        <f>IFERROR(SUM(Contratti!O3:O12)/SUM(Contratti!L3:L12),0)</f>
        <v/>
      </c>
    </row>
    <row r="12"/>
    <row r="13">
      <c r="A13" s="21" t="inlineStr">
        <is>
          <t>DETTAGLIO PER CONTRATTO — CANONE ANNUO E CEDOLARE</t>
        </is>
      </c>
    </row>
    <row r="14">
      <c r="A14" s="2" t="inlineStr">
        <is>
          <t>ID Contratto</t>
        </is>
      </c>
      <c r="B14" s="2" t="inlineStr">
        <is>
          <t>Proprietario</t>
        </is>
      </c>
      <c r="C14" s="2" t="inlineStr">
        <is>
          <t>Canone Annuo (€)</t>
        </is>
      </c>
      <c r="D14" s="2" t="inlineStr">
        <is>
          <t>Imposta Cedolare (€)</t>
        </is>
      </c>
      <c r="E14" s="2" t="inlineStr">
        <is>
          <t>Canone Netto (€)</t>
        </is>
      </c>
      <c r="F14" s="2" t="inlineStr">
        <is>
          <t>Cedolare Applicata</t>
        </is>
      </c>
    </row>
    <row r="15">
      <c r="A15" s="3" t="inlineStr">
        <is>
          <t>CTR-001</t>
        </is>
      </c>
      <c r="B15" s="33">
        <f>IFERROR(VLOOKUP("CTR-001",Contratti!A:B,2,0),"")</f>
        <v/>
      </c>
      <c r="C15" s="42">
        <f>IFERROR(VLOOKUP("CTR-001",Contratti!A:L,12,0),0)</f>
        <v/>
      </c>
      <c r="D15" s="42">
        <f>IFERROR(VLOOKUP("CTR-001",Contratti!A:O,15,0),0)</f>
        <v/>
      </c>
      <c r="E15" s="42">
        <f>IFERROR(VLOOKUP("CTR-001",Contratti!A:R,18,0),0)</f>
        <v/>
      </c>
      <c r="F15" s="3">
        <f>IFERROR(VLOOKUP("CTR-001",Contratti!A:M,13,0),"")</f>
        <v/>
      </c>
    </row>
    <row r="16">
      <c r="A16" s="10" t="inlineStr">
        <is>
          <t>CTR-002</t>
        </is>
      </c>
      <c r="B16" s="34">
        <f>IFERROR(VLOOKUP("CTR-002",Contratti!A:B,2,0),"")</f>
        <v/>
      </c>
      <c r="C16" s="45">
        <f>IFERROR(VLOOKUP("CTR-002",Contratti!A:L,12,0),0)</f>
        <v/>
      </c>
      <c r="D16" s="45">
        <f>IFERROR(VLOOKUP("CTR-002",Contratti!A:O,15,0),0)</f>
        <v/>
      </c>
      <c r="E16" s="45">
        <f>IFERROR(VLOOKUP("CTR-002",Contratti!A:R,18,0),0)</f>
        <v/>
      </c>
      <c r="F16" s="10">
        <f>IFERROR(VLOOKUP("CTR-002",Contratti!A:M,13,0),"")</f>
        <v/>
      </c>
    </row>
    <row r="17">
      <c r="A17" s="3" t="inlineStr">
        <is>
          <t>CTR-003</t>
        </is>
      </c>
      <c r="B17" s="33">
        <f>IFERROR(VLOOKUP("CTR-003",Contratti!A:B,2,0),"")</f>
        <v/>
      </c>
      <c r="C17" s="42">
        <f>IFERROR(VLOOKUP("CTR-003",Contratti!A:L,12,0),0)</f>
        <v/>
      </c>
      <c r="D17" s="42">
        <f>IFERROR(VLOOKUP("CTR-003",Contratti!A:O,15,0),0)</f>
        <v/>
      </c>
      <c r="E17" s="42">
        <f>IFERROR(VLOOKUP("CTR-003",Contratti!A:R,18,0),0)</f>
        <v/>
      </c>
      <c r="F17" s="3">
        <f>IFERROR(VLOOKUP("CTR-003",Contratti!A:M,13,0),"")</f>
        <v/>
      </c>
    </row>
    <row r="18">
      <c r="A18" s="10" t="inlineStr">
        <is>
          <t>CTR-004</t>
        </is>
      </c>
      <c r="B18" s="34">
        <f>IFERROR(VLOOKUP("CTR-004",Contratti!A:B,2,0),"")</f>
        <v/>
      </c>
      <c r="C18" s="45">
        <f>IFERROR(VLOOKUP("CTR-004",Contratti!A:L,12,0),0)</f>
        <v/>
      </c>
      <c r="D18" s="45">
        <f>IFERROR(VLOOKUP("CTR-004",Contratti!A:O,15,0),0)</f>
        <v/>
      </c>
      <c r="E18" s="45">
        <f>IFERROR(VLOOKUP("CTR-004",Contratti!A:R,18,0),0)</f>
        <v/>
      </c>
      <c r="F18" s="10">
        <f>IFERROR(VLOOKUP("CTR-004",Contratti!A:M,13,0),"")</f>
        <v/>
      </c>
    </row>
    <row r="19">
      <c r="A19" s="3" t="inlineStr">
        <is>
          <t>CTR-005</t>
        </is>
      </c>
      <c r="B19" s="33">
        <f>IFERROR(VLOOKUP("CTR-005",Contratti!A:B,2,0),"")</f>
        <v/>
      </c>
      <c r="C19" s="42">
        <f>IFERROR(VLOOKUP("CTR-005",Contratti!A:L,12,0),0)</f>
        <v/>
      </c>
      <c r="D19" s="42">
        <f>IFERROR(VLOOKUP("CTR-005",Contratti!A:O,15,0),0)</f>
        <v/>
      </c>
      <c r="E19" s="42">
        <f>IFERROR(VLOOKUP("CTR-005",Contratti!A:R,18,0),0)</f>
        <v/>
      </c>
      <c r="F19" s="3">
        <f>IFERROR(VLOOKUP("CTR-005",Contratti!A:M,13,0),"")</f>
        <v/>
      </c>
    </row>
    <row r="20">
      <c r="A20" s="10" t="inlineStr">
        <is>
          <t>CTR-006</t>
        </is>
      </c>
      <c r="B20" s="34">
        <f>IFERROR(VLOOKUP("CTR-006",Contratti!A:B,2,0),"")</f>
        <v/>
      </c>
      <c r="C20" s="45">
        <f>IFERROR(VLOOKUP("CTR-006",Contratti!A:L,12,0),0)</f>
        <v/>
      </c>
      <c r="D20" s="45">
        <f>IFERROR(VLOOKUP("CTR-006",Contratti!A:O,15,0),0)</f>
        <v/>
      </c>
      <c r="E20" s="45">
        <f>IFERROR(VLOOKUP("CTR-006",Contratti!A:R,18,0),0)</f>
        <v/>
      </c>
      <c r="F20" s="10">
        <f>IFERROR(VLOOKUP("CTR-006",Contratti!A:M,13,0),"")</f>
        <v/>
      </c>
    </row>
    <row r="21">
      <c r="A21" s="3" t="inlineStr">
        <is>
          <t>CTR-007</t>
        </is>
      </c>
      <c r="B21" s="33">
        <f>IFERROR(VLOOKUP("CTR-007",Contratti!A:B,2,0),"")</f>
        <v/>
      </c>
      <c r="C21" s="42">
        <f>IFERROR(VLOOKUP("CTR-007",Contratti!A:L,12,0),0)</f>
        <v/>
      </c>
      <c r="D21" s="42">
        <f>IFERROR(VLOOKUP("CTR-007",Contratti!A:O,15,0),0)</f>
        <v/>
      </c>
      <c r="E21" s="42">
        <f>IFERROR(VLOOKUP("CTR-007",Contratti!A:R,18,0),0)</f>
        <v/>
      </c>
      <c r="F21" s="3">
        <f>IFERROR(VLOOKUP("CTR-007",Contratti!A:M,13,0),"")</f>
        <v/>
      </c>
    </row>
    <row r="22">
      <c r="A22" s="10" t="inlineStr">
        <is>
          <t>CTR-008</t>
        </is>
      </c>
      <c r="B22" s="34">
        <f>IFERROR(VLOOKUP("CTR-008",Contratti!A:B,2,0),"")</f>
        <v/>
      </c>
      <c r="C22" s="45">
        <f>IFERROR(VLOOKUP("CTR-008",Contratti!A:L,12,0),0)</f>
        <v/>
      </c>
      <c r="D22" s="45">
        <f>IFERROR(VLOOKUP("CTR-008",Contratti!A:O,15,0),0)</f>
        <v/>
      </c>
      <c r="E22" s="45">
        <f>IFERROR(VLOOKUP("CTR-008",Contratti!A:R,18,0),0)</f>
        <v/>
      </c>
      <c r="F22" s="10">
        <f>IFERROR(VLOOKUP("CTR-008",Contratti!A:M,13,0),"")</f>
        <v/>
      </c>
    </row>
    <row r="23">
      <c r="A23" s="3" t="inlineStr">
        <is>
          <t>CTR-009</t>
        </is>
      </c>
      <c r="B23" s="33">
        <f>IFERROR(VLOOKUP("CTR-009",Contratti!A:B,2,0),"")</f>
        <v/>
      </c>
      <c r="C23" s="42">
        <f>IFERROR(VLOOKUP("CTR-009",Contratti!A:L,12,0),0)</f>
        <v/>
      </c>
      <c r="D23" s="42">
        <f>IFERROR(VLOOKUP("CTR-009",Contratti!A:O,15,0),0)</f>
        <v/>
      </c>
      <c r="E23" s="42">
        <f>IFERROR(VLOOKUP("CTR-009",Contratti!A:R,18,0),0)</f>
        <v/>
      </c>
      <c r="F23" s="3">
        <f>IFERROR(VLOOKUP("CTR-009",Contratti!A:M,13,0),"")</f>
        <v/>
      </c>
    </row>
    <row r="24">
      <c r="A24" s="10" t="inlineStr">
        <is>
          <t>CTR-010</t>
        </is>
      </c>
      <c r="B24" s="34">
        <f>IFERROR(VLOOKUP("CTR-010",Contratti!A:B,2,0),"")</f>
        <v/>
      </c>
      <c r="C24" s="45">
        <f>IFERROR(VLOOKUP("CTR-010",Contratti!A:L,12,0),0)</f>
        <v/>
      </c>
      <c r="D24" s="45">
        <f>IFERROR(VLOOKUP("CTR-010",Contratti!A:O,15,0),0)</f>
        <v/>
      </c>
      <c r="E24" s="45">
        <f>IFERROR(VLOOKUP("CTR-010",Contratti!A:R,18,0),0)</f>
        <v/>
      </c>
      <c r="F24" s="10">
        <f>IFERROR(VLOOKUP("CTR-010",Contratti!A:M,13,0),"")</f>
        <v/>
      </c>
    </row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>
      <c r="H45" s="35" t="inlineStr">
        <is>
          <t>4+4</t>
        </is>
      </c>
      <c r="I45" s="35">
        <f>COUNTIF(Contratti!H3:H12,"4+4")</f>
        <v/>
      </c>
    </row>
    <row r="46">
      <c r="H46" s="35" t="inlineStr">
        <is>
          <t>transitorio</t>
        </is>
      </c>
      <c r="I46" s="35">
        <f>COUNTIF(Contratti!H3:H12,"transitorio")</f>
        <v/>
      </c>
    </row>
    <row r="47">
      <c r="H47" s="35" t="inlineStr">
        <is>
          <t>3+2</t>
        </is>
      </c>
      <c r="I47" s="35">
        <f>COUNTIF(Contratti!H3:H12,"3+2")</f>
        <v/>
      </c>
    </row>
  </sheetData>
  <mergeCells count="2">
    <mergeCell ref="A1:F1"/>
    <mergeCell ref="A13:F1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 ht="35" customHeight="1">
      <c r="A1" s="24" t="inlineStr">
        <is>
          <t>ISTRUZIONI PER L'UTILIZZO DEL FILE</t>
        </is>
      </c>
    </row>
    <row r="2" ht="20" customHeight="1"/>
    <row r="3" ht="20" customHeight="1">
      <c r="A3" s="36" t="inlineStr">
        <is>
          <t>FOGLIO 1 — CONTRATTI</t>
        </is>
      </c>
    </row>
    <row r="4" ht="20" customHeight="1">
      <c r="A4" s="37" t="inlineStr">
        <is>
          <t>Inserire i dati nei campi evidenziati in giallo (celle input):</t>
        </is>
      </c>
    </row>
    <row r="5" ht="20" customHeight="1">
      <c r="A5" s="38" t="inlineStr">
        <is>
          <t>• Colonna K: Canone Mensile in euro per ogni contratto</t>
        </is>
      </c>
    </row>
    <row r="6" ht="20" customHeight="1">
      <c r="A6" s="39" t="inlineStr">
        <is>
          <t>• Colonna M: Cedolare Secca Applicabile — inserire 'Sì' oppure 'No'</t>
        </is>
      </c>
    </row>
    <row r="7" ht="20" customHeight="1">
      <c r="A7" s="38" t="inlineStr">
        <is>
          <t>• Colonna P: Deposito Cauzionale concordato con l'inquilino</t>
        </is>
      </c>
    </row>
    <row r="8" ht="20" customHeight="1">
      <c r="A8" s="39" t="inlineStr">
        <is>
          <t>• Colonna Q: Spese condominiali mensili a carico dell'inquilino</t>
        </is>
      </c>
    </row>
    <row r="9" ht="20" customHeight="1">
      <c r="A9" s="38" t="inlineStr">
        <is>
          <t>Le colonne L, N, O, R sono calcolate automaticamente con formule Excel.</t>
        </is>
      </c>
    </row>
    <row r="10" ht="20" customHeight="1">
      <c r="A10" s="37" t="inlineStr">
        <is>
          <t>FORMULE AUTOMATICHE:</t>
        </is>
      </c>
    </row>
    <row r="11" ht="20" customHeight="1">
      <c r="A11" s="38" t="inlineStr">
        <is>
          <t>• Canone Annuale = Canone Mensile × 12</t>
        </is>
      </c>
    </row>
    <row r="12" ht="20" customHeight="1">
      <c r="A12" s="39" t="inlineStr">
        <is>
          <t>• Aliquota Cedolare = 21% se cedolare applicata, 0% altrimenti</t>
        </is>
      </c>
    </row>
    <row r="13" ht="20" customHeight="1">
      <c r="A13" s="38" t="inlineStr">
        <is>
          <t>• Imposta Cedolare = Canone Annuale × 21% (solo se Sì)</t>
        </is>
      </c>
    </row>
    <row r="14" ht="20" customHeight="1">
      <c r="A14" s="39" t="inlineStr">
        <is>
          <t>• Canone Netto Annuo = Canone Annuale − Imposta Cedolare</t>
        </is>
      </c>
    </row>
    <row r="15" ht="20" customHeight="1">
      <c r="A15" s="36" t="inlineStr">
        <is>
          <t>FOGLIO 2 — CALCOLO CEDOLARE</t>
        </is>
      </c>
    </row>
    <row r="16" ht="20" customHeight="1">
      <c r="A16" s="37" t="inlineStr">
        <is>
          <t>Questo foglio confronta la cedolare secca con il regime ordinario IRPEF:</t>
        </is>
      </c>
    </row>
    <row r="17" ht="20" customHeight="1">
      <c r="A17" s="38" t="inlineStr">
        <is>
          <t>• Netto Cedolare = Canone Annuo − Cedolare 21%</t>
        </is>
      </c>
    </row>
    <row r="18" ht="20" customHeight="1">
      <c r="A18" s="39" t="inlineStr">
        <is>
          <t>• Netto Ordinario = Canone Annuo − Imposta Registro − IRPEF − Addizionali</t>
        </is>
      </c>
    </row>
    <row r="19" ht="20" customHeight="1">
      <c r="A19" s="38" t="inlineStr">
        <is>
          <t>• IRPEF stimata al 23% sul 95% del canone (deduzione forfettaria 5%)</t>
        </is>
      </c>
    </row>
    <row r="20" ht="20" customHeight="1">
      <c r="A20" s="39" t="inlineStr">
        <is>
          <t>• Addizionali stimate al 3% dell'IRPEF calcolata</t>
        </is>
      </c>
    </row>
    <row r="21" ht="20" customHeight="1">
      <c r="A21" s="38" t="inlineStr">
        <is>
          <t>• Imposta di Registro stimata al 2% del canone annuo</t>
        </is>
      </c>
    </row>
    <row r="22" ht="20" customHeight="1">
      <c r="A22" s="39" t="inlineStr">
        <is>
          <t>• La colonna 'Convenienza' indica se la cedolare è favorevole rispetto al regime ordinario</t>
        </is>
      </c>
    </row>
    <row r="23" ht="20" customHeight="1">
      <c r="A23" s="36" t="inlineStr">
        <is>
          <t>FOGLIO 3 — RIEPILOGO</t>
        </is>
      </c>
    </row>
    <row r="24" ht="20" customHeight="1">
      <c r="A24" s="37" t="inlineStr">
        <is>
          <t>Dashboard con KPI aggregati per l'investitore:</t>
        </is>
      </c>
    </row>
    <row r="25" ht="20" customHeight="1">
      <c r="A25" s="38" t="inlineStr">
        <is>
          <t>• Numero contratti attivi, totale canoni, imposta totale, netto annuo totale</t>
        </is>
      </c>
    </row>
    <row r="26" ht="20" customHeight="1">
      <c r="A26" s="39" t="inlineStr">
        <is>
          <t>• Grafico a colonne: confronto Canone Annuo vs Imposta Cedolare per ogni contratto</t>
        </is>
      </c>
    </row>
    <row r="27" ht="20" customHeight="1">
      <c r="A27" s="38" t="inlineStr">
        <is>
          <t>• Grafico a torta: distribuzione contratti per tipo (4+4, transitorio, 3+2)</t>
        </is>
      </c>
    </row>
    <row r="28" ht="20" customHeight="1">
      <c r="A28" s="37" t="inlineStr">
        <is>
          <t>NOTE NORMATIVE:</t>
        </is>
      </c>
    </row>
    <row r="29" ht="20" customHeight="1">
      <c r="A29" s="38" t="inlineStr">
        <is>
          <t>• Cedolare Secca: regime opzionale ex art. 3 D.Lgs. 23/2011 — aliquota ordinaria 21%</t>
        </is>
      </c>
    </row>
    <row r="30" ht="20" customHeight="1">
      <c r="A30" s="39" t="inlineStr">
        <is>
          <t>• Contratto 4+4: locazione abitativa ordinaria — durata 4 anni + rinnovo 4 anni</t>
        </is>
      </c>
    </row>
    <row r="31" ht="20" customHeight="1">
      <c r="A31" s="38" t="inlineStr">
        <is>
          <t>• Contratto 3+2: locazione a canone concordato — aliquota agevolata 10% (non inclusa qui)</t>
        </is>
      </c>
    </row>
    <row r="32" ht="20" customHeight="1">
      <c r="A32" s="39" t="inlineStr">
        <is>
          <t>• Contratto Transitorio: durata 1-18 mesi per esigenze temporanee documentate</t>
        </is>
      </c>
    </row>
    <row r="33" ht="20" customHeight="1">
      <c r="A33" s="38" t="inlineStr">
        <is>
          <t>• Registrazione: obbligatoria tramite modello RLI entro 30 giorni dalla stipula</t>
        </is>
      </c>
    </row>
    <row r="34" ht="20" customHeight="1">
      <c r="A34" s="39" t="inlineStr">
        <is>
          <t>• Con cedolare secca non è dovuta l'imposta di registro né l'imposta di bollo</t>
        </is>
      </c>
    </row>
    <row r="35" ht="20" customHeight="1">
      <c r="A35" s="38" t="inlineStr">
        <is>
          <t>• Deposito cauzionale: non può superare 3 mensilità (art. 11 L. 392/1978)</t>
        </is>
      </c>
    </row>
    <row r="36" ht="20" customHeight="1">
      <c r="A36" s="39" t="inlineStr">
        <is>
          <t>• IMU: dovuta dal proprietario sulla seconda casa — non inclusa in questo calcolo</t>
        </is>
      </c>
    </row>
    <row r="37" ht="20" customHeight="1">
      <c r="A37" s="38" t="inlineStr">
        <is>
          <t>• TARI: a carico dell'inquilino per la durata del contratto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2026-06-22T03:16:41Z</dcterms:created>
  <dcterms:modified xmlns:dcterms="http://purl.org/dc/terms/" xmlns:xsi="http://www.w3.org/2001/XMLSchema-instance" xsi:type="dcterms:W3CDTF">2026-06-22T03:16:41Z</dcterms:modified>
</cp:coreProperties>
</file>